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10215" windowHeight="6540"/>
  </bookViews>
  <sheets>
    <sheet name="Table1" sheetId="20" r:id="rId1"/>
    <sheet name="Table2" sheetId="3" r:id="rId2"/>
    <sheet name="Table3" sheetId="21" r:id="rId3"/>
    <sheet name="Table4" sheetId="22" r:id="rId4"/>
    <sheet name="Table5" sheetId="23" r:id="rId5"/>
    <sheet name="Table6" sheetId="6" r:id="rId6"/>
    <sheet name="Table7" sheetId="7" r:id="rId7"/>
    <sheet name="Table8" sheetId="25" r:id="rId8"/>
    <sheet name="Table9" sheetId="27" r:id="rId9"/>
    <sheet name="Table10" sheetId="24" r:id="rId10"/>
    <sheet name="Table11" sheetId="19" r:id="rId11"/>
    <sheet name="Table12" sheetId="12" r:id="rId12"/>
    <sheet name="Table13" sheetId="26" r:id="rId13"/>
    <sheet name="Table14" sheetId="14" r:id="rId14"/>
    <sheet name="Table15" sheetId="15" r:id="rId15"/>
    <sheet name="Table16" sheetId="16" r:id="rId16"/>
    <sheet name="Table17" sheetId="17" r:id="rId17"/>
    <sheet name="Table18" sheetId="18" r:id="rId18"/>
    <sheet name="Table19" sheetId="28" r:id="rId19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53" i="28" l="1"/>
  <c r="Z53" i="28"/>
  <c r="W53" i="28"/>
  <c r="Q53" i="28"/>
  <c r="P53" i="28"/>
  <c r="AE52" i="28"/>
  <c r="AD52" i="28"/>
  <c r="AC52" i="28"/>
  <c r="AA52" i="28"/>
  <c r="Z52" i="28"/>
  <c r="Y52" i="28"/>
  <c r="W52" i="28"/>
  <c r="V52" i="28"/>
  <c r="U52" i="28"/>
  <c r="T52" i="28"/>
  <c r="R52" i="28"/>
  <c r="Q52" i="28"/>
  <c r="P52" i="28"/>
  <c r="O52" i="28"/>
  <c r="N52" i="28"/>
  <c r="L52" i="28"/>
  <c r="K52" i="28"/>
  <c r="J52" i="28"/>
  <c r="H52" i="28"/>
  <c r="G52" i="28"/>
  <c r="Y47" i="28"/>
  <c r="AE46" i="28"/>
  <c r="AD46" i="28"/>
  <c r="AC46" i="28"/>
  <c r="AA46" i="28"/>
  <c r="Z46" i="28"/>
  <c r="Y46" i="28"/>
  <c r="W46" i="28"/>
  <c r="V46" i="28"/>
  <c r="U46" i="28"/>
  <c r="T46" i="28"/>
  <c r="R46" i="28"/>
  <c r="AF11" i="28" s="1"/>
  <c r="AF17" i="28" s="1"/>
  <c r="Q46" i="28"/>
  <c r="P46" i="28"/>
  <c r="O46" i="28"/>
  <c r="N46" i="28"/>
  <c r="L46" i="28"/>
  <c r="K46" i="28"/>
  <c r="J46" i="28"/>
  <c r="H46" i="28"/>
  <c r="G46" i="28"/>
  <c r="Y41" i="28"/>
  <c r="Y25" i="28" s="1"/>
  <c r="AE40" i="28"/>
  <c r="AE24" i="28" s="1"/>
  <c r="AD40" i="28"/>
  <c r="AD24" i="28" s="1"/>
  <c r="AC40" i="28"/>
  <c r="AC24" i="28" s="1"/>
  <c r="AA40" i="28"/>
  <c r="AA24" i="28" s="1"/>
  <c r="Z40" i="28"/>
  <c r="Z24" i="28" s="1"/>
  <c r="Y40" i="28"/>
  <c r="Y24" i="28" s="1"/>
  <c r="Z41" i="28" s="1"/>
  <c r="W40" i="28"/>
  <c r="V40" i="28"/>
  <c r="U40" i="28"/>
  <c r="U24" i="28" s="1"/>
  <c r="T40" i="28"/>
  <c r="T24" i="28" s="1"/>
  <c r="R40" i="28"/>
  <c r="R24" i="28" s="1"/>
  <c r="Q40" i="28"/>
  <c r="Q24" i="28" s="1"/>
  <c r="P40" i="28"/>
  <c r="P24" i="28" s="1"/>
  <c r="O40" i="28"/>
  <c r="O24" i="28" s="1"/>
  <c r="P41" i="28" s="1"/>
  <c r="N40" i="28"/>
  <c r="L40" i="28"/>
  <c r="K40" i="28"/>
  <c r="K24" i="28" s="1"/>
  <c r="J40" i="28"/>
  <c r="J24" i="28" s="1"/>
  <c r="H40" i="28"/>
  <c r="H24" i="28" s="1"/>
  <c r="G40" i="28"/>
  <c r="Z25" i="28"/>
  <c r="AA54" i="28" s="1"/>
  <c r="W24" i="28"/>
  <c r="Y53" i="28" s="1"/>
  <c r="V24" i="28"/>
  <c r="W47" i="28" s="1"/>
  <c r="N24" i="28"/>
  <c r="O53" i="28" s="1"/>
  <c r="L24" i="28"/>
  <c r="N53" i="28" s="1"/>
  <c r="F23" i="28"/>
  <c r="AF16" i="28"/>
  <c r="AE16" i="28"/>
  <c r="AD16" i="28"/>
  <c r="AA16" i="28"/>
  <c r="Z16" i="28"/>
  <c r="W16" i="28"/>
  <c r="V16" i="28"/>
  <c r="U16" i="28"/>
  <c r="T16" i="28"/>
  <c r="R16" i="28"/>
  <c r="Q16" i="28"/>
  <c r="P16" i="28"/>
  <c r="O16" i="28"/>
  <c r="N16" i="28"/>
  <c r="L16" i="28"/>
  <c r="K16" i="28"/>
  <c r="J16" i="28"/>
  <c r="H16" i="28"/>
  <c r="G16" i="28"/>
  <c r="H11" i="28"/>
  <c r="H17" i="28" s="1"/>
  <c r="AH10" i="28"/>
  <c r="AH16" i="28" s="1"/>
  <c r="AG10" i="28"/>
  <c r="AG16" i="28" s="1"/>
  <c r="AE10" i="28"/>
  <c r="AC10" i="28"/>
  <c r="AC16" i="28" s="1"/>
  <c r="Y10" i="28"/>
  <c r="Y16" i="28" s="1"/>
  <c r="T10" i="28"/>
  <c r="N10" i="28"/>
  <c r="J10" i="28"/>
  <c r="F10" i="28"/>
  <c r="F16" i="28" s="1"/>
  <c r="O4" i="28"/>
  <c r="K4" i="28"/>
  <c r="AC53" i="18"/>
  <c r="AA53" i="18"/>
  <c r="U53" i="18"/>
  <c r="T53" i="18"/>
  <c r="K53" i="18"/>
  <c r="J53" i="18"/>
  <c r="AE52" i="18"/>
  <c r="AD52" i="18"/>
  <c r="AC52" i="18"/>
  <c r="AA52" i="18"/>
  <c r="Z52" i="18"/>
  <c r="Y52" i="18"/>
  <c r="W52" i="18"/>
  <c r="V52" i="18"/>
  <c r="U52" i="18"/>
  <c r="T52" i="18"/>
  <c r="R52" i="18"/>
  <c r="Q52" i="18"/>
  <c r="P52" i="18"/>
  <c r="O52" i="18"/>
  <c r="N52" i="18"/>
  <c r="L52" i="18"/>
  <c r="K52" i="18"/>
  <c r="J52" i="18"/>
  <c r="H52" i="18"/>
  <c r="AE48" i="18"/>
  <c r="AD47" i="18"/>
  <c r="AC47" i="18"/>
  <c r="AA47" i="18"/>
  <c r="R47" i="18"/>
  <c r="Q47" i="18"/>
  <c r="P47" i="18"/>
  <c r="AE46" i="18"/>
  <c r="AD46" i="18"/>
  <c r="AC46" i="18"/>
  <c r="AA46" i="18"/>
  <c r="Z46" i="18"/>
  <c r="Y46" i="18"/>
  <c r="W46" i="18"/>
  <c r="V46" i="18"/>
  <c r="U46" i="18"/>
  <c r="T46" i="18"/>
  <c r="R46" i="18"/>
  <c r="Q46" i="18"/>
  <c r="P46" i="18"/>
  <c r="O46" i="18"/>
  <c r="N46" i="18"/>
  <c r="L46" i="18"/>
  <c r="K46" i="18"/>
  <c r="J46" i="18"/>
  <c r="P11" i="18" s="1"/>
  <c r="P17" i="18" s="1"/>
  <c r="H46" i="18"/>
  <c r="K42" i="18"/>
  <c r="AC41" i="18"/>
  <c r="AA41" i="18"/>
  <c r="N41" i="18"/>
  <c r="L41" i="18"/>
  <c r="AE40" i="18"/>
  <c r="AD40" i="18"/>
  <c r="AD24" i="18" s="1"/>
  <c r="AC40" i="18"/>
  <c r="AC24" i="18" s="1"/>
  <c r="AD41" i="18" s="1"/>
  <c r="AA40" i="18"/>
  <c r="Z40" i="18"/>
  <c r="Y40" i="18"/>
  <c r="W40" i="18"/>
  <c r="W24" i="18" s="1"/>
  <c r="V40" i="18"/>
  <c r="U40" i="18"/>
  <c r="T40" i="18"/>
  <c r="T24" i="18" s="1"/>
  <c r="R40" i="18"/>
  <c r="R24" i="18" s="1"/>
  <c r="T41" i="18" s="1"/>
  <c r="Q40" i="18"/>
  <c r="P40" i="18"/>
  <c r="O40" i="18"/>
  <c r="O24" i="18" s="1"/>
  <c r="N40" i="18"/>
  <c r="L40" i="18"/>
  <c r="K40" i="18"/>
  <c r="J40" i="18"/>
  <c r="J24" i="18" s="1"/>
  <c r="H40" i="18"/>
  <c r="H24" i="18" s="1"/>
  <c r="J41" i="18" s="1"/>
  <c r="AD25" i="18"/>
  <c r="AE54" i="18" s="1"/>
  <c r="AC25" i="18"/>
  <c r="AD48" i="18" s="1"/>
  <c r="AA25" i="18"/>
  <c r="AC54" i="18" s="1"/>
  <c r="T25" i="18"/>
  <c r="J25" i="18"/>
  <c r="AE24" i="18"/>
  <c r="AA24" i="18"/>
  <c r="Z24" i="18"/>
  <c r="Y24" i="18"/>
  <c r="V24" i="18"/>
  <c r="W41" i="18" s="1"/>
  <c r="U24" i="18"/>
  <c r="V41" i="18" s="1"/>
  <c r="Q24" i="18"/>
  <c r="P24" i="18"/>
  <c r="L24" i="18"/>
  <c r="K24" i="18"/>
  <c r="F23" i="18"/>
  <c r="G52" i="18" s="1"/>
  <c r="F52" i="18" s="1"/>
  <c r="L11" i="18" s="1"/>
  <c r="L17" i="18" s="1"/>
  <c r="AG16" i="18"/>
  <c r="AF16" i="18"/>
  <c r="AD16" i="18"/>
  <c r="AA16" i="18"/>
  <c r="Z16" i="18"/>
  <c r="W16" i="18"/>
  <c r="V16" i="18"/>
  <c r="U16" i="18"/>
  <c r="R16" i="18"/>
  <c r="Q16" i="18"/>
  <c r="P16" i="18"/>
  <c r="O16" i="18"/>
  <c r="N16" i="18"/>
  <c r="L16" i="18"/>
  <c r="K16" i="18"/>
  <c r="H16" i="18"/>
  <c r="G16" i="18"/>
  <c r="AF11" i="18"/>
  <c r="R11" i="18"/>
  <c r="H11" i="18"/>
  <c r="AA11" i="18" s="1"/>
  <c r="AA17" i="18" s="1"/>
  <c r="AH10" i="18"/>
  <c r="AH16" i="18" s="1"/>
  <c r="AG10" i="18"/>
  <c r="AE10" i="18"/>
  <c r="Y10" i="18"/>
  <c r="Y16" i="18" s="1"/>
  <c r="T10" i="18"/>
  <c r="T16" i="18" s="1"/>
  <c r="N10" i="18"/>
  <c r="J10" i="18"/>
  <c r="J16" i="18" s="1"/>
  <c r="F10" i="18"/>
  <c r="F16" i="18" s="1"/>
  <c r="K4" i="18"/>
  <c r="AD53" i="17"/>
  <c r="AA53" i="17"/>
  <c r="T53" i="17"/>
  <c r="O53" i="17"/>
  <c r="AE52" i="17"/>
  <c r="AD52" i="17"/>
  <c r="AC52" i="17"/>
  <c r="AA52" i="17"/>
  <c r="Z52" i="17"/>
  <c r="Y52" i="17"/>
  <c r="W52" i="17"/>
  <c r="V52" i="17"/>
  <c r="U52" i="17"/>
  <c r="T52" i="17"/>
  <c r="R52" i="17"/>
  <c r="Q52" i="17"/>
  <c r="P52" i="17"/>
  <c r="O52" i="17"/>
  <c r="N52" i="17"/>
  <c r="L52" i="17"/>
  <c r="K52" i="17"/>
  <c r="J52" i="17"/>
  <c r="H52" i="17"/>
  <c r="AA47" i="17"/>
  <c r="O47" i="17"/>
  <c r="AE46" i="17"/>
  <c r="AD46" i="17"/>
  <c r="AC46" i="17"/>
  <c r="AA46" i="17"/>
  <c r="Z46" i="17"/>
  <c r="Y46" i="17"/>
  <c r="W46" i="17"/>
  <c r="V46" i="17"/>
  <c r="U46" i="17"/>
  <c r="T46" i="17"/>
  <c r="R46" i="17"/>
  <c r="Q46" i="17"/>
  <c r="P46" i="17"/>
  <c r="O46" i="17"/>
  <c r="N46" i="17"/>
  <c r="L46" i="17"/>
  <c r="K46" i="17"/>
  <c r="J46" i="17"/>
  <c r="H46" i="17"/>
  <c r="AA41" i="17"/>
  <c r="P41" i="17"/>
  <c r="AE40" i="17"/>
  <c r="AD40" i="17"/>
  <c r="AC40" i="17"/>
  <c r="AC24" i="17" s="1"/>
  <c r="AA40" i="17"/>
  <c r="AA24" i="17" s="1"/>
  <c r="Z40" i="17"/>
  <c r="Y40" i="17"/>
  <c r="W40" i="17"/>
  <c r="V40" i="17"/>
  <c r="U40" i="17"/>
  <c r="U24" i="17" s="1"/>
  <c r="T40" i="17"/>
  <c r="T24" i="17" s="1"/>
  <c r="U41" i="17" s="1"/>
  <c r="R40" i="17"/>
  <c r="R24" i="17" s="1"/>
  <c r="Q40" i="17"/>
  <c r="Q24" i="17" s="1"/>
  <c r="P40" i="17"/>
  <c r="O40" i="17"/>
  <c r="N40" i="17"/>
  <c r="N24" i="17" s="1"/>
  <c r="O41" i="17" s="1"/>
  <c r="L40" i="17"/>
  <c r="K40" i="17"/>
  <c r="J40" i="17"/>
  <c r="J24" i="17" s="1"/>
  <c r="H40" i="17"/>
  <c r="H24" i="17" s="1"/>
  <c r="G40" i="17"/>
  <c r="AA25" i="17"/>
  <c r="AC48" i="17" s="1"/>
  <c r="O25" i="17"/>
  <c r="AE24" i="17"/>
  <c r="AD24" i="17"/>
  <c r="Z24" i="17"/>
  <c r="Y24" i="17"/>
  <c r="W24" i="17"/>
  <c r="V24" i="17"/>
  <c r="P24" i="17"/>
  <c r="O24" i="17"/>
  <c r="L24" i="17"/>
  <c r="N41" i="17" s="1"/>
  <c r="K24" i="17"/>
  <c r="L47" i="17" s="1"/>
  <c r="F23" i="17"/>
  <c r="AG16" i="17"/>
  <c r="AF16" i="17"/>
  <c r="AD16" i="17"/>
  <c r="AA16" i="17"/>
  <c r="Z16" i="17"/>
  <c r="Y16" i="17"/>
  <c r="W16" i="17"/>
  <c r="V16" i="17"/>
  <c r="U16" i="17"/>
  <c r="T16" i="17"/>
  <c r="R16" i="17"/>
  <c r="Q16" i="17"/>
  <c r="P16" i="17"/>
  <c r="O16" i="17"/>
  <c r="L16" i="17"/>
  <c r="K16" i="17"/>
  <c r="J16" i="17"/>
  <c r="H16" i="17"/>
  <c r="G16" i="17"/>
  <c r="F16" i="17"/>
  <c r="AF11" i="17"/>
  <c r="AA11" i="17"/>
  <c r="P11" i="17"/>
  <c r="P17" i="17" s="1"/>
  <c r="O11" i="17"/>
  <c r="O17" i="17" s="1"/>
  <c r="H11" i="17"/>
  <c r="H17" i="17" s="1"/>
  <c r="AH10" i="17"/>
  <c r="AH16" i="17" s="1"/>
  <c r="AG10" i="17"/>
  <c r="AE10" i="17"/>
  <c r="AC10" i="17" s="1"/>
  <c r="AC16" i="17" s="1"/>
  <c r="Y10" i="17"/>
  <c r="T10" i="17"/>
  <c r="N10" i="17"/>
  <c r="N16" i="17" s="1"/>
  <c r="J10" i="17"/>
  <c r="F10" i="17"/>
  <c r="K4" i="17"/>
  <c r="Z53" i="16"/>
  <c r="AE52" i="16"/>
  <c r="AD52" i="16"/>
  <c r="AC52" i="16"/>
  <c r="AA52" i="16"/>
  <c r="Z52" i="16"/>
  <c r="Y52" i="16"/>
  <c r="W52" i="16"/>
  <c r="V52" i="16"/>
  <c r="U52" i="16"/>
  <c r="T52" i="16"/>
  <c r="R52" i="16"/>
  <c r="Q52" i="16"/>
  <c r="P52" i="16"/>
  <c r="O52" i="16"/>
  <c r="N52" i="16"/>
  <c r="L52" i="16"/>
  <c r="K52" i="16"/>
  <c r="J52" i="16"/>
  <c r="H52" i="16"/>
  <c r="Z47" i="16"/>
  <c r="Q47" i="16"/>
  <c r="AE46" i="16"/>
  <c r="AD46" i="16"/>
  <c r="AC46" i="16"/>
  <c r="AA46" i="16"/>
  <c r="Z46" i="16"/>
  <c r="Y46" i="16"/>
  <c r="W46" i="16"/>
  <c r="V46" i="16"/>
  <c r="U46" i="16"/>
  <c r="T46" i="16"/>
  <c r="R46" i="16"/>
  <c r="Q46" i="16"/>
  <c r="P46" i="16"/>
  <c r="O46" i="16"/>
  <c r="N46" i="16"/>
  <c r="L46" i="16"/>
  <c r="K46" i="16"/>
  <c r="J46" i="16"/>
  <c r="H46" i="16"/>
  <c r="W41" i="16"/>
  <c r="Q41" i="16"/>
  <c r="J41" i="16"/>
  <c r="AE40" i="16"/>
  <c r="AD40" i="16"/>
  <c r="AD24" i="16" s="1"/>
  <c r="AC40" i="16"/>
  <c r="AA40" i="16"/>
  <c r="Z40" i="16"/>
  <c r="Z24" i="16" s="1"/>
  <c r="Y40" i="16"/>
  <c r="W40" i="16"/>
  <c r="V40" i="16"/>
  <c r="V24" i="16" s="1"/>
  <c r="W53" i="16" s="1"/>
  <c r="U40" i="16"/>
  <c r="U24" i="16" s="1"/>
  <c r="T40" i="16"/>
  <c r="R40" i="16"/>
  <c r="Q40" i="16"/>
  <c r="P40" i="16"/>
  <c r="P24" i="16" s="1"/>
  <c r="O40" i="16"/>
  <c r="O24" i="16" s="1"/>
  <c r="N40" i="16"/>
  <c r="L40" i="16"/>
  <c r="L24" i="16" s="1"/>
  <c r="K40" i="16"/>
  <c r="J40" i="16"/>
  <c r="J24" i="16" s="1"/>
  <c r="K47" i="16" s="1"/>
  <c r="H40" i="16"/>
  <c r="AE24" i="16"/>
  <c r="AC24" i="16"/>
  <c r="AD41" i="16" s="1"/>
  <c r="AD25" i="16" s="1"/>
  <c r="AA24" i="16"/>
  <c r="Y24" i="16"/>
  <c r="Z41" i="16" s="1"/>
  <c r="Z25" i="16" s="1"/>
  <c r="W24" i="16"/>
  <c r="T24" i="16"/>
  <c r="U53" i="16" s="1"/>
  <c r="R24" i="16"/>
  <c r="T53" i="16" s="1"/>
  <c r="Q24" i="16"/>
  <c r="N24" i="16"/>
  <c r="O53" i="16" s="1"/>
  <c r="K24" i="16"/>
  <c r="H24" i="16"/>
  <c r="J47" i="16" s="1"/>
  <c r="F23" i="16"/>
  <c r="G40" i="16" s="1"/>
  <c r="F40" i="16" s="1"/>
  <c r="G11" i="16" s="1"/>
  <c r="Q17" i="16"/>
  <c r="H17" i="16"/>
  <c r="G17" i="16"/>
  <c r="AH16" i="16"/>
  <c r="AF16" i="16"/>
  <c r="AD16" i="16"/>
  <c r="AA16" i="16"/>
  <c r="Z16" i="16"/>
  <c r="W16" i="16"/>
  <c r="V16" i="16"/>
  <c r="U16" i="16"/>
  <c r="T16" i="16"/>
  <c r="R16" i="16"/>
  <c r="Q16" i="16"/>
  <c r="P16" i="16"/>
  <c r="O16" i="16"/>
  <c r="L16" i="16"/>
  <c r="K16" i="16"/>
  <c r="H16" i="16"/>
  <c r="G16" i="16"/>
  <c r="F16" i="16"/>
  <c r="AF11" i="16"/>
  <c r="AA11" i="16"/>
  <c r="AG24" i="16" s="1"/>
  <c r="V11" i="16"/>
  <c r="AG11" i="16" s="1"/>
  <c r="AG17" i="16" s="1"/>
  <c r="Q11" i="16"/>
  <c r="P11" i="16"/>
  <c r="P17" i="16" s="1"/>
  <c r="H11" i="16"/>
  <c r="R11" i="16" s="1"/>
  <c r="W11" i="16" s="1"/>
  <c r="W17" i="16" s="1"/>
  <c r="AH10" i="16"/>
  <c r="AG10" i="16"/>
  <c r="AG16" i="16" s="1"/>
  <c r="AE10" i="16"/>
  <c r="AE16" i="16" s="1"/>
  <c r="Y10" i="16"/>
  <c r="Y16" i="16" s="1"/>
  <c r="T10" i="16"/>
  <c r="N10" i="16"/>
  <c r="N16" i="16" s="1"/>
  <c r="J10" i="16"/>
  <c r="J16" i="16" s="1"/>
  <c r="F10" i="16"/>
  <c r="K4" i="16"/>
  <c r="V73" i="15"/>
  <c r="AE72" i="15"/>
  <c r="AD72" i="15"/>
  <c r="AC72" i="15"/>
  <c r="AA72" i="15"/>
  <c r="Z72" i="15"/>
  <c r="Y72" i="15"/>
  <c r="W72" i="15"/>
  <c r="V72" i="15"/>
  <c r="U72" i="15"/>
  <c r="T72" i="15"/>
  <c r="R72" i="15"/>
  <c r="Q72" i="15"/>
  <c r="P72" i="15"/>
  <c r="O72" i="15"/>
  <c r="N72" i="15"/>
  <c r="L72" i="15"/>
  <c r="K72" i="15"/>
  <c r="J72" i="15"/>
  <c r="H72" i="15"/>
  <c r="AE62" i="15"/>
  <c r="AD62" i="15"/>
  <c r="AC62" i="15"/>
  <c r="AA62" i="15"/>
  <c r="Z62" i="15"/>
  <c r="Y62" i="15"/>
  <c r="W62" i="15"/>
  <c r="V62" i="15"/>
  <c r="U62" i="15"/>
  <c r="T62" i="15"/>
  <c r="R62" i="15"/>
  <c r="Q62" i="15"/>
  <c r="P62" i="15"/>
  <c r="O62" i="15"/>
  <c r="N62" i="15"/>
  <c r="L62" i="15"/>
  <c r="K62" i="15"/>
  <c r="J62" i="15"/>
  <c r="H62" i="15"/>
  <c r="AE52" i="15"/>
  <c r="AE32" i="15" s="1"/>
  <c r="AD52" i="15"/>
  <c r="AC52" i="15"/>
  <c r="AA52" i="15"/>
  <c r="AA32" i="15" s="1"/>
  <c r="Z52" i="15"/>
  <c r="Y52" i="15"/>
  <c r="W52" i="15"/>
  <c r="W32" i="15" s="1"/>
  <c r="V52" i="15"/>
  <c r="V32" i="15" s="1"/>
  <c r="U52" i="15"/>
  <c r="U32" i="15" s="1"/>
  <c r="V53" i="15" s="1"/>
  <c r="T52" i="15"/>
  <c r="R52" i="15"/>
  <c r="Q52" i="15"/>
  <c r="Q32" i="15" s="1"/>
  <c r="P52" i="15"/>
  <c r="P32" i="15" s="1"/>
  <c r="O52" i="15"/>
  <c r="N52" i="15"/>
  <c r="N32" i="15" s="1"/>
  <c r="L52" i="15"/>
  <c r="L32" i="15" s="1"/>
  <c r="K52" i="15"/>
  <c r="K32" i="15" s="1"/>
  <c r="J52" i="15"/>
  <c r="H52" i="15"/>
  <c r="V33" i="15"/>
  <c r="W64" i="15" s="1"/>
  <c r="AD32" i="15"/>
  <c r="AC32" i="15"/>
  <c r="AD53" i="15" s="1"/>
  <c r="Z32" i="15"/>
  <c r="AA73" i="15" s="1"/>
  <c r="Y32" i="15"/>
  <c r="T32" i="15"/>
  <c r="R32" i="15"/>
  <c r="T73" i="15" s="1"/>
  <c r="O32" i="15"/>
  <c r="J32" i="15"/>
  <c r="H32" i="15"/>
  <c r="F31" i="15"/>
  <c r="G62" i="15" s="1"/>
  <c r="F62" i="15" s="1"/>
  <c r="K11" i="15" s="1"/>
  <c r="H21" i="15"/>
  <c r="AL20" i="15"/>
  <c r="AK20" i="15"/>
  <c r="AF20" i="15"/>
  <c r="AD20" i="15"/>
  <c r="AA20" i="15"/>
  <c r="Z20" i="15"/>
  <c r="W20" i="15"/>
  <c r="V20" i="15"/>
  <c r="U20" i="15"/>
  <c r="T20" i="15"/>
  <c r="R20" i="15"/>
  <c r="Q20" i="15"/>
  <c r="P20" i="15"/>
  <c r="O20" i="15"/>
  <c r="L20" i="15"/>
  <c r="K20" i="15"/>
  <c r="H20" i="15"/>
  <c r="G20" i="15"/>
  <c r="H12" i="15"/>
  <c r="AP11" i="15"/>
  <c r="AP12" i="15" s="1"/>
  <c r="AP13" i="15" s="1"/>
  <c r="AP14" i="15" s="1"/>
  <c r="AP15" i="15" s="1"/>
  <c r="AP16" i="15" s="1"/>
  <c r="AP17" i="15" s="1"/>
  <c r="AF11" i="15"/>
  <c r="AF21" i="15" s="1"/>
  <c r="AA11" i="15"/>
  <c r="AG32" i="15" s="1"/>
  <c r="Q11" i="15"/>
  <c r="Q21" i="15" s="1"/>
  <c r="P11" i="15"/>
  <c r="P21" i="15" s="1"/>
  <c r="O11" i="15"/>
  <c r="O21" i="15" s="1"/>
  <c r="H11" i="15"/>
  <c r="R11" i="15" s="1"/>
  <c r="R21" i="15" s="1"/>
  <c r="AH10" i="15"/>
  <c r="AG10" i="15"/>
  <c r="AG20" i="15" s="1"/>
  <c r="Y10" i="15"/>
  <c r="Y20" i="15" s="1"/>
  <c r="T10" i="15"/>
  <c r="N10" i="15"/>
  <c r="N20" i="15" s="1"/>
  <c r="J10" i="15"/>
  <c r="J20" i="15" s="1"/>
  <c r="F10" i="15"/>
  <c r="F20" i="15" s="1"/>
  <c r="AJ5" i="15"/>
  <c r="K4" i="15"/>
  <c r="AE53" i="14"/>
  <c r="K53" i="14"/>
  <c r="AE52" i="14"/>
  <c r="AD52" i="14"/>
  <c r="AC52" i="14"/>
  <c r="AA52" i="14"/>
  <c r="Z52" i="14"/>
  <c r="Y52" i="14"/>
  <c r="W52" i="14"/>
  <c r="V52" i="14"/>
  <c r="U52" i="14"/>
  <c r="T52" i="14"/>
  <c r="R52" i="14"/>
  <c r="Q52" i="14"/>
  <c r="P52" i="14"/>
  <c r="O52" i="14"/>
  <c r="N52" i="14"/>
  <c r="L52" i="14"/>
  <c r="K52" i="14"/>
  <c r="J52" i="14"/>
  <c r="H52" i="14"/>
  <c r="V48" i="14"/>
  <c r="AE47" i="14"/>
  <c r="AC47" i="14"/>
  <c r="R47" i="14"/>
  <c r="K47" i="14"/>
  <c r="AE46" i="14"/>
  <c r="AD46" i="14"/>
  <c r="AC46" i="14"/>
  <c r="AA46" i="14"/>
  <c r="Z46" i="14"/>
  <c r="Y46" i="14"/>
  <c r="W46" i="14"/>
  <c r="V46" i="14"/>
  <c r="U46" i="14"/>
  <c r="T46" i="14"/>
  <c r="R46" i="14"/>
  <c r="Q46" i="14"/>
  <c r="P46" i="14"/>
  <c r="O46" i="14"/>
  <c r="AF11" i="14" s="1"/>
  <c r="N46" i="14"/>
  <c r="L46" i="14"/>
  <c r="P11" i="14" s="1"/>
  <c r="P17" i="14" s="1"/>
  <c r="K46" i="14"/>
  <c r="J46" i="14"/>
  <c r="H46" i="14"/>
  <c r="G46" i="14"/>
  <c r="R42" i="14"/>
  <c r="AD41" i="14"/>
  <c r="AA41" i="14"/>
  <c r="Q41" i="14"/>
  <c r="AE40" i="14"/>
  <c r="AE24" i="14" s="1"/>
  <c r="AD40" i="14"/>
  <c r="AC40" i="14"/>
  <c r="AC24" i="14" s="1"/>
  <c r="AA40" i="14"/>
  <c r="Z40" i="14"/>
  <c r="Y40" i="14"/>
  <c r="W40" i="14"/>
  <c r="W24" i="14" s="1"/>
  <c r="V40" i="14"/>
  <c r="V24" i="14" s="1"/>
  <c r="U40" i="14"/>
  <c r="T40" i="14"/>
  <c r="R40" i="14"/>
  <c r="Q40" i="14"/>
  <c r="P40" i="14"/>
  <c r="O40" i="14"/>
  <c r="N40" i="14"/>
  <c r="L40" i="14"/>
  <c r="L24" i="14" s="1"/>
  <c r="K40" i="14"/>
  <c r="J40" i="14"/>
  <c r="H40" i="14"/>
  <c r="H24" i="14" s="1"/>
  <c r="U25" i="14"/>
  <c r="V54" i="14" s="1"/>
  <c r="Q25" i="14"/>
  <c r="AD24" i="14"/>
  <c r="AA24" i="14"/>
  <c r="AC53" i="14" s="1"/>
  <c r="Z24" i="14"/>
  <c r="Y24" i="14"/>
  <c r="U24" i="14"/>
  <c r="T24" i="14"/>
  <c r="U41" i="14" s="1"/>
  <c r="R24" i="14"/>
  <c r="T53" i="14" s="1"/>
  <c r="Q24" i="14"/>
  <c r="R53" i="14" s="1"/>
  <c r="P24" i="14"/>
  <c r="O24" i="14"/>
  <c r="N24" i="14"/>
  <c r="J24" i="14"/>
  <c r="F23" i="14"/>
  <c r="G40" i="14" s="1"/>
  <c r="F40" i="14" s="1"/>
  <c r="G11" i="14" s="1"/>
  <c r="F11" i="14" s="1"/>
  <c r="F17" i="14" s="1"/>
  <c r="AF16" i="14"/>
  <c r="AE16" i="14"/>
  <c r="AD16" i="14"/>
  <c r="AC16" i="14"/>
  <c r="AA16" i="14"/>
  <c r="Z16" i="14"/>
  <c r="W16" i="14"/>
  <c r="V16" i="14"/>
  <c r="U16" i="14"/>
  <c r="R16" i="14"/>
  <c r="Q16" i="14"/>
  <c r="P16" i="14"/>
  <c r="O16" i="14"/>
  <c r="L16" i="14"/>
  <c r="K16" i="14"/>
  <c r="H16" i="14"/>
  <c r="G16" i="14"/>
  <c r="Q11" i="14"/>
  <c r="H11" i="14"/>
  <c r="H17" i="14" s="1"/>
  <c r="AH10" i="14"/>
  <c r="AH16" i="14" s="1"/>
  <c r="AG10" i="14"/>
  <c r="AG16" i="14" s="1"/>
  <c r="AE10" i="14"/>
  <c r="AC10" i="14"/>
  <c r="Y10" i="14"/>
  <c r="Y16" i="14" s="1"/>
  <c r="T10" i="14"/>
  <c r="T16" i="14" s="1"/>
  <c r="N10" i="14"/>
  <c r="N16" i="14" s="1"/>
  <c r="J10" i="14"/>
  <c r="J16" i="14" s="1"/>
  <c r="F10" i="14"/>
  <c r="F16" i="14" s="1"/>
  <c r="K4" i="14"/>
  <c r="AB18" i="26"/>
  <c r="Z18" i="26"/>
  <c r="Y18" i="26"/>
  <c r="X18" i="26"/>
  <c r="V18" i="26"/>
  <c r="U18" i="26"/>
  <c r="S18" i="26"/>
  <c r="R18" i="26"/>
  <c r="P18" i="26"/>
  <c r="O18" i="26"/>
  <c r="M18" i="26"/>
  <c r="L18" i="26"/>
  <c r="J18" i="26"/>
  <c r="I18" i="26"/>
  <c r="H18" i="26"/>
  <c r="G18" i="26"/>
  <c r="E18" i="26"/>
  <c r="D18" i="26"/>
  <c r="AB17" i="26"/>
  <c r="Z17" i="26"/>
  <c r="Y17" i="26"/>
  <c r="X17" i="26"/>
  <c r="V17" i="26"/>
  <c r="U17" i="26"/>
  <c r="S17" i="26"/>
  <c r="R17" i="26"/>
  <c r="P17" i="26"/>
  <c r="O17" i="26"/>
  <c r="M17" i="26"/>
  <c r="L17" i="26"/>
  <c r="J17" i="26"/>
  <c r="I17" i="26"/>
  <c r="H17" i="26"/>
  <c r="G17" i="26"/>
  <c r="E17" i="26"/>
  <c r="D17" i="26"/>
  <c r="AB16" i="26"/>
  <c r="Z16" i="26"/>
  <c r="Y16" i="26"/>
  <c r="X16" i="26"/>
  <c r="V16" i="26"/>
  <c r="U16" i="26"/>
  <c r="S16" i="26"/>
  <c r="R16" i="26"/>
  <c r="P16" i="26"/>
  <c r="O16" i="26"/>
  <c r="M16" i="26"/>
  <c r="L16" i="26"/>
  <c r="J16" i="26"/>
  <c r="I16" i="26"/>
  <c r="H16" i="26"/>
  <c r="G16" i="26"/>
  <c r="E16" i="26"/>
  <c r="D16" i="26"/>
  <c r="AB15" i="26"/>
  <c r="Z15" i="26"/>
  <c r="Y15" i="26"/>
  <c r="X15" i="26"/>
  <c r="V15" i="26"/>
  <c r="U15" i="26"/>
  <c r="S15" i="26"/>
  <c r="R15" i="26"/>
  <c r="P15" i="26"/>
  <c r="O15" i="26"/>
  <c r="M15" i="26"/>
  <c r="L15" i="26"/>
  <c r="J15" i="26"/>
  <c r="I15" i="26"/>
  <c r="H15" i="26"/>
  <c r="G15" i="26"/>
  <c r="E15" i="26"/>
  <c r="D15" i="26"/>
  <c r="E28" i="24"/>
  <c r="O24" i="24"/>
  <c r="N24" i="24"/>
  <c r="M24" i="24"/>
  <c r="AA23" i="24"/>
  <c r="AA24" i="24" s="1"/>
  <c r="K23" i="24"/>
  <c r="K24" i="24" s="1"/>
  <c r="X22" i="24"/>
  <c r="R22" i="24"/>
  <c r="I22" i="24"/>
  <c r="E22" i="24"/>
  <c r="Q13" i="24"/>
  <c r="P13" i="24"/>
  <c r="O13" i="24"/>
  <c r="N13" i="24"/>
  <c r="M13" i="24"/>
  <c r="U23" i="24" s="1"/>
  <c r="E13" i="24"/>
  <c r="O12" i="24"/>
  <c r="N12" i="24"/>
  <c r="E12" i="24" s="1"/>
  <c r="J23" i="24" s="1"/>
  <c r="M12" i="24"/>
  <c r="L12" i="24"/>
  <c r="K12" i="24"/>
  <c r="J12" i="24"/>
  <c r="Y11" i="24"/>
  <c r="X11" i="24"/>
  <c r="W11" i="24"/>
  <c r="V11" i="24"/>
  <c r="U11" i="24"/>
  <c r="T11" i="24"/>
  <c r="S11" i="24"/>
  <c r="R11" i="24"/>
  <c r="Q11" i="24"/>
  <c r="P11" i="24"/>
  <c r="O11" i="24"/>
  <c r="E6" i="24"/>
  <c r="F51" i="27"/>
  <c r="E51" i="27"/>
  <c r="D51" i="27"/>
  <c r="M48" i="27"/>
  <c r="M44" i="27"/>
  <c r="AD26" i="27"/>
  <c r="AC26" i="27"/>
  <c r="AB26" i="27"/>
  <c r="AA26" i="27"/>
  <c r="X26" i="27"/>
  <c r="W26" i="27"/>
  <c r="R26" i="27" s="1"/>
  <c r="E26" i="27" s="1"/>
  <c r="H51" i="27" s="1"/>
  <c r="T26" i="27"/>
  <c r="J26" i="27" s="1"/>
  <c r="Q26" i="27"/>
  <c r="O26" i="27"/>
  <c r="L26" i="27"/>
  <c r="H26" i="27"/>
  <c r="D26" i="27"/>
  <c r="W24" i="27"/>
  <c r="T24" i="27"/>
  <c r="J24" i="27"/>
  <c r="Y23" i="27"/>
  <c r="W23" i="27"/>
  <c r="R23" i="27" s="1"/>
  <c r="E23" i="27" s="1"/>
  <c r="H48" i="27" s="1"/>
  <c r="U23" i="27"/>
  <c r="F23" i="27" s="1"/>
  <c r="I48" i="27" s="1"/>
  <c r="T23" i="27"/>
  <c r="J23" i="27" s="1"/>
  <c r="I23" i="27" s="1"/>
  <c r="W22" i="27"/>
  <c r="T22" i="27"/>
  <c r="Y21" i="27"/>
  <c r="U21" i="27" s="1"/>
  <c r="F21" i="27" s="1"/>
  <c r="I46" i="27" s="1"/>
  <c r="W21" i="27"/>
  <c r="T21" i="27"/>
  <c r="R21" i="27"/>
  <c r="E21" i="27" s="1"/>
  <c r="H46" i="27" s="1"/>
  <c r="W20" i="27"/>
  <c r="Y20" i="27" s="1"/>
  <c r="U20" i="27" s="1"/>
  <c r="F20" i="27" s="1"/>
  <c r="I45" i="27" s="1"/>
  <c r="T20" i="27"/>
  <c r="R20" i="27"/>
  <c r="Y19" i="27"/>
  <c r="U19" i="27" s="1"/>
  <c r="W19" i="27"/>
  <c r="T19" i="27"/>
  <c r="R19" i="27"/>
  <c r="J19" i="27"/>
  <c r="I19" i="27"/>
  <c r="E19" i="27"/>
  <c r="H44" i="27" s="1"/>
  <c r="W18" i="27"/>
  <c r="Y18" i="27" s="1"/>
  <c r="U18" i="27" s="1"/>
  <c r="F18" i="27" s="1"/>
  <c r="I43" i="27" s="1"/>
  <c r="T18" i="27"/>
  <c r="R18" i="27"/>
  <c r="J18" i="27"/>
  <c r="W17" i="27"/>
  <c r="R17" i="27" s="1"/>
  <c r="T17" i="27"/>
  <c r="J17" i="27" s="1"/>
  <c r="I17" i="27" s="1"/>
  <c r="E17" i="27"/>
  <c r="H42" i="27" s="1"/>
  <c r="W16" i="27"/>
  <c r="T16" i="27"/>
  <c r="J16" i="27"/>
  <c r="Y15" i="27"/>
  <c r="W15" i="27"/>
  <c r="R15" i="27" s="1"/>
  <c r="S15" i="27" s="1"/>
  <c r="U15" i="27"/>
  <c r="F15" i="27" s="1"/>
  <c r="I40" i="27" s="1"/>
  <c r="T15" i="27"/>
  <c r="AG24" i="25"/>
  <c r="N24" i="25"/>
  <c r="O24" i="25" s="1"/>
  <c r="S24" i="25" s="1"/>
  <c r="AG23" i="25"/>
  <c r="N23" i="25"/>
  <c r="O23" i="25" s="1"/>
  <c r="S23" i="25" s="1"/>
  <c r="AG22" i="25"/>
  <c r="P22" i="25"/>
  <c r="T22" i="25" s="1"/>
  <c r="O22" i="25"/>
  <c r="S22" i="25" s="1"/>
  <c r="R22" i="25" s="1"/>
  <c r="N22" i="25"/>
  <c r="AG21" i="25"/>
  <c r="S21" i="25"/>
  <c r="N21" i="25"/>
  <c r="O21" i="25" s="1"/>
  <c r="AG20" i="25"/>
  <c r="S20" i="25"/>
  <c r="P20" i="25"/>
  <c r="T20" i="25" s="1"/>
  <c r="N20" i="25"/>
  <c r="O20" i="25" s="1"/>
  <c r="AG19" i="25"/>
  <c r="S19" i="25"/>
  <c r="N19" i="25"/>
  <c r="O19" i="25" s="1"/>
  <c r="AG18" i="25"/>
  <c r="T18" i="25"/>
  <c r="N18" i="25"/>
  <c r="P18" i="25" s="1"/>
  <c r="AG17" i="25"/>
  <c r="N17" i="25"/>
  <c r="O17" i="25" s="1"/>
  <c r="S17" i="25" s="1"/>
  <c r="AG16" i="25"/>
  <c r="T16" i="25"/>
  <c r="P16" i="25"/>
  <c r="O16" i="25"/>
  <c r="S16" i="25" s="1"/>
  <c r="R16" i="25" s="1"/>
  <c r="N16" i="25"/>
  <c r="AG15" i="25"/>
  <c r="N15" i="25"/>
  <c r="O15" i="25" s="1"/>
  <c r="S15" i="25" s="1"/>
  <c r="AG14" i="25"/>
  <c r="P14" i="25"/>
  <c r="T14" i="25" s="1"/>
  <c r="O14" i="25"/>
  <c r="S14" i="25" s="1"/>
  <c r="R14" i="25" s="1"/>
  <c r="N14" i="25"/>
  <c r="AG13" i="25"/>
  <c r="N13" i="25"/>
  <c r="O13" i="25" s="1"/>
  <c r="S13" i="25" s="1"/>
  <c r="AG12" i="25"/>
  <c r="N12" i="25"/>
  <c r="P12" i="25" s="1"/>
  <c r="T12" i="25" s="1"/>
  <c r="AG11" i="25"/>
  <c r="N11" i="25"/>
  <c r="O11" i="25" s="1"/>
  <c r="S11" i="25" s="1"/>
  <c r="AG10" i="25"/>
  <c r="T10" i="25"/>
  <c r="P10" i="25"/>
  <c r="O10" i="25"/>
  <c r="S10" i="25" s="1"/>
  <c r="R10" i="25" s="1"/>
  <c r="N10" i="25"/>
  <c r="AG9" i="25"/>
  <c r="N9" i="25"/>
  <c r="P9" i="25" s="1"/>
  <c r="T9" i="25" s="1"/>
  <c r="AG8" i="25"/>
  <c r="T8" i="25"/>
  <c r="N8" i="25"/>
  <c r="P8" i="25" s="1"/>
  <c r="T25" i="7"/>
  <c r="S25" i="7"/>
  <c r="Q25" i="7"/>
  <c r="R25" i="7" s="1"/>
  <c r="N25" i="7"/>
  <c r="J25" i="7"/>
  <c r="H25" i="7"/>
  <c r="I25" i="7" s="1"/>
  <c r="E25" i="7"/>
  <c r="S24" i="7"/>
  <c r="T24" i="7" s="1"/>
  <c r="R24" i="7"/>
  <c r="Q24" i="7"/>
  <c r="N24" i="7"/>
  <c r="J24" i="7"/>
  <c r="K24" i="7" s="1"/>
  <c r="H24" i="7"/>
  <c r="E24" i="7"/>
  <c r="S23" i="7"/>
  <c r="Q23" i="7"/>
  <c r="N23" i="7"/>
  <c r="R23" i="7" s="1"/>
  <c r="J23" i="7"/>
  <c r="K23" i="7" s="1"/>
  <c r="H23" i="7"/>
  <c r="E23" i="7"/>
  <c r="I23" i="7" s="1"/>
  <c r="S22" i="7"/>
  <c r="T22" i="7" s="1"/>
  <c r="Q22" i="7"/>
  <c r="N22" i="7"/>
  <c r="R22" i="7" s="1"/>
  <c r="J22" i="7"/>
  <c r="K22" i="7" s="1"/>
  <c r="I22" i="7"/>
  <c r="H22" i="7"/>
  <c r="E22" i="7"/>
  <c r="S21" i="7"/>
  <c r="T21" i="7" s="1"/>
  <c r="R21" i="7"/>
  <c r="Q21" i="7"/>
  <c r="N21" i="7"/>
  <c r="J21" i="7"/>
  <c r="H21" i="7"/>
  <c r="E21" i="7"/>
  <c r="I21" i="7" s="1"/>
  <c r="T20" i="7"/>
  <c r="S20" i="7"/>
  <c r="Q20" i="7"/>
  <c r="R20" i="7" s="1"/>
  <c r="N20" i="7"/>
  <c r="J20" i="7"/>
  <c r="K20" i="7" s="1"/>
  <c r="H20" i="7"/>
  <c r="I20" i="7" s="1"/>
  <c r="E20" i="7"/>
  <c r="S19" i="7"/>
  <c r="T19" i="7" s="1"/>
  <c r="N19" i="7"/>
  <c r="J19" i="7"/>
  <c r="K19" i="7" s="1"/>
  <c r="E19" i="7"/>
  <c r="T18" i="7"/>
  <c r="S18" i="7"/>
  <c r="N18" i="7"/>
  <c r="J18" i="7"/>
  <c r="E18" i="7"/>
  <c r="S17" i="7"/>
  <c r="T17" i="7" s="1"/>
  <c r="N17" i="7"/>
  <c r="J17" i="7"/>
  <c r="K17" i="7" s="1"/>
  <c r="E17" i="7"/>
  <c r="S16" i="7"/>
  <c r="T23" i="7" s="1"/>
  <c r="N16" i="7"/>
  <c r="J16" i="7"/>
  <c r="K21" i="7" s="1"/>
  <c r="E16" i="7"/>
  <c r="N15" i="7"/>
  <c r="E15" i="7"/>
  <c r="N14" i="7"/>
  <c r="E14" i="7"/>
  <c r="N13" i="7"/>
  <c r="E13" i="7"/>
  <c r="N12" i="7"/>
  <c r="E12" i="7"/>
  <c r="N11" i="7"/>
  <c r="E11" i="7"/>
  <c r="N10" i="7"/>
  <c r="E10" i="7"/>
  <c r="N9" i="7"/>
  <c r="E9" i="7"/>
  <c r="V30" i="6"/>
  <c r="R30" i="6"/>
  <c r="Q30" i="6"/>
  <c r="O30" i="6"/>
  <c r="N30" i="6"/>
  <c r="O31" i="6" s="1"/>
  <c r="J30" i="6"/>
  <c r="I30" i="6"/>
  <c r="G30" i="6"/>
  <c r="F30" i="6"/>
  <c r="V29" i="6"/>
  <c r="U29" i="6"/>
  <c r="U30" i="6" s="1"/>
  <c r="V31" i="6" s="1"/>
  <c r="T29" i="6"/>
  <c r="T30" i="6" s="1"/>
  <c r="U31" i="6" s="1"/>
  <c r="S29" i="6"/>
  <c r="S30" i="6" s="1"/>
  <c r="R29" i="6"/>
  <c r="Q29" i="6"/>
  <c r="P29" i="6"/>
  <c r="P30" i="6" s="1"/>
  <c r="O29" i="6"/>
  <c r="N29" i="6"/>
  <c r="M29" i="6"/>
  <c r="M30" i="6" s="1"/>
  <c r="N31" i="6" s="1"/>
  <c r="L29" i="6"/>
  <c r="L30" i="6" s="1"/>
  <c r="K29" i="6"/>
  <c r="K30" i="6" s="1"/>
  <c r="J29" i="6"/>
  <c r="I29" i="6"/>
  <c r="H29" i="6"/>
  <c r="H30" i="6" s="1"/>
  <c r="G29" i="6"/>
  <c r="F29" i="6"/>
  <c r="E29" i="6"/>
  <c r="E30" i="6" s="1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S19" i="6"/>
  <c r="P19" i="6"/>
  <c r="K19" i="6"/>
  <c r="H19" i="6"/>
  <c r="U18" i="6"/>
  <c r="U19" i="6" s="1"/>
  <c r="T18" i="6"/>
  <c r="T19" i="6" s="1"/>
  <c r="S18" i="6"/>
  <c r="R18" i="6"/>
  <c r="R19" i="6" s="1"/>
  <c r="S20" i="6" s="1"/>
  <c r="Q18" i="6"/>
  <c r="Q19" i="6" s="1"/>
  <c r="P18" i="6"/>
  <c r="O18" i="6"/>
  <c r="O19" i="6" s="1"/>
  <c r="N18" i="6"/>
  <c r="N19" i="6" s="1"/>
  <c r="O20" i="6" s="1"/>
  <c r="M18" i="6"/>
  <c r="M19" i="6" s="1"/>
  <c r="L18" i="6"/>
  <c r="L19" i="6" s="1"/>
  <c r="K18" i="6"/>
  <c r="J18" i="6"/>
  <c r="J19" i="6" s="1"/>
  <c r="I18" i="6"/>
  <c r="I19" i="6" s="1"/>
  <c r="H18" i="6"/>
  <c r="G18" i="6"/>
  <c r="G19" i="6" s="1"/>
  <c r="F18" i="6"/>
  <c r="F19" i="6" s="1"/>
  <c r="E18" i="6"/>
  <c r="E19" i="6" s="1"/>
  <c r="W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R42" i="23"/>
  <c r="T42" i="23" s="1"/>
  <c r="M42" i="23"/>
  <c r="O42" i="23" s="1"/>
  <c r="H42" i="23"/>
  <c r="G42" i="23"/>
  <c r="I42" i="23" s="1"/>
  <c r="E42" i="23"/>
  <c r="R41" i="23"/>
  <c r="T41" i="23" s="1"/>
  <c r="M41" i="23"/>
  <c r="O41" i="23" s="1"/>
  <c r="H41" i="23"/>
  <c r="E41" i="23"/>
  <c r="G41" i="23" s="1"/>
  <c r="I41" i="23" s="1"/>
  <c r="R40" i="23"/>
  <c r="T40" i="23" s="1"/>
  <c r="M40" i="23"/>
  <c r="O40" i="23" s="1"/>
  <c r="H40" i="23"/>
  <c r="E40" i="23"/>
  <c r="G40" i="23" s="1"/>
  <c r="I40" i="23" s="1"/>
  <c r="R39" i="23"/>
  <c r="T39" i="23" s="1"/>
  <c r="M39" i="23"/>
  <c r="O39" i="23" s="1"/>
  <c r="H39" i="23"/>
  <c r="E39" i="23"/>
  <c r="G39" i="23" s="1"/>
  <c r="I39" i="23" s="1"/>
  <c r="R38" i="23"/>
  <c r="T38" i="23" s="1"/>
  <c r="O38" i="23"/>
  <c r="M38" i="23"/>
  <c r="H38" i="23"/>
  <c r="G38" i="23"/>
  <c r="I38" i="23" s="1"/>
  <c r="E38" i="23"/>
  <c r="R37" i="23"/>
  <c r="T37" i="23" s="1"/>
  <c r="M37" i="23"/>
  <c r="O37" i="23" s="1"/>
  <c r="H37" i="23"/>
  <c r="E37" i="23"/>
  <c r="G37" i="23" s="1"/>
  <c r="I37" i="23" s="1"/>
  <c r="R36" i="23"/>
  <c r="T36" i="23" s="1"/>
  <c r="M36" i="23"/>
  <c r="O36" i="23" s="1"/>
  <c r="H36" i="23"/>
  <c r="E36" i="23"/>
  <c r="G36" i="23" s="1"/>
  <c r="I36" i="23" s="1"/>
  <c r="R35" i="23"/>
  <c r="T35" i="23" s="1"/>
  <c r="M35" i="23"/>
  <c r="O35" i="23" s="1"/>
  <c r="H35" i="23"/>
  <c r="E35" i="23"/>
  <c r="G35" i="23" s="1"/>
  <c r="R34" i="23"/>
  <c r="T34" i="23" s="1"/>
  <c r="O34" i="23"/>
  <c r="M34" i="23"/>
  <c r="H34" i="23"/>
  <c r="E34" i="23"/>
  <c r="G34" i="23" s="1"/>
  <c r="I34" i="23" s="1"/>
  <c r="X34" i="23" s="1"/>
  <c r="R33" i="23"/>
  <c r="T33" i="23" s="1"/>
  <c r="M33" i="23"/>
  <c r="O33" i="23" s="1"/>
  <c r="H33" i="23"/>
  <c r="E33" i="23"/>
  <c r="G33" i="23" s="1"/>
  <c r="I33" i="23" s="1"/>
  <c r="R32" i="23"/>
  <c r="T32" i="23" s="1"/>
  <c r="M32" i="23"/>
  <c r="O32" i="23" s="1"/>
  <c r="H32" i="23"/>
  <c r="E32" i="23"/>
  <c r="G32" i="23" s="1"/>
  <c r="I32" i="23" s="1"/>
  <c r="R31" i="23"/>
  <c r="T31" i="23" s="1"/>
  <c r="M31" i="23"/>
  <c r="O31" i="23" s="1"/>
  <c r="H31" i="23"/>
  <c r="E31" i="23"/>
  <c r="G31" i="23" s="1"/>
  <c r="R30" i="23"/>
  <c r="T30" i="23" s="1"/>
  <c r="M30" i="23"/>
  <c r="O30" i="23" s="1"/>
  <c r="H30" i="23"/>
  <c r="E30" i="23"/>
  <c r="G30" i="23" s="1"/>
  <c r="I30" i="23" s="1"/>
  <c r="X30" i="23" s="1"/>
  <c r="L30" i="22"/>
  <c r="K30" i="22"/>
  <c r="J30" i="22"/>
  <c r="I30" i="22"/>
  <c r="H30" i="22"/>
  <c r="G30" i="22"/>
  <c r="F30" i="22"/>
  <c r="E30" i="22"/>
  <c r="D30" i="22"/>
  <c r="C30" i="22"/>
  <c r="L29" i="22"/>
  <c r="K29" i="22"/>
  <c r="J29" i="22"/>
  <c r="I29" i="22"/>
  <c r="H29" i="22"/>
  <c r="G29" i="22"/>
  <c r="F29" i="22"/>
  <c r="E29" i="22"/>
  <c r="D29" i="22"/>
  <c r="C29" i="22"/>
  <c r="L28" i="22"/>
  <c r="K28" i="22"/>
  <c r="J28" i="22"/>
  <c r="I28" i="22"/>
  <c r="H28" i="22"/>
  <c r="G28" i="22"/>
  <c r="F28" i="22"/>
  <c r="E28" i="22"/>
  <c r="D28" i="22"/>
  <c r="C28" i="22"/>
  <c r="L27" i="22"/>
  <c r="K27" i="22"/>
  <c r="J27" i="22"/>
  <c r="I27" i="22"/>
  <c r="H27" i="22"/>
  <c r="G27" i="22"/>
  <c r="F27" i="22"/>
  <c r="E27" i="22"/>
  <c r="D27" i="22"/>
  <c r="C27" i="22"/>
  <c r="L26" i="22"/>
  <c r="K26" i="22"/>
  <c r="J26" i="22"/>
  <c r="I26" i="22"/>
  <c r="H26" i="22"/>
  <c r="G26" i="22"/>
  <c r="F26" i="22"/>
  <c r="E26" i="22"/>
  <c r="D26" i="22"/>
  <c r="C26" i="22"/>
  <c r="L25" i="22"/>
  <c r="K25" i="22"/>
  <c r="J25" i="22"/>
  <c r="I25" i="22"/>
  <c r="H25" i="22"/>
  <c r="G25" i="22"/>
  <c r="F25" i="22"/>
  <c r="E25" i="22"/>
  <c r="D25" i="22"/>
  <c r="C25" i="22"/>
  <c r="L24" i="22"/>
  <c r="K24" i="22"/>
  <c r="J24" i="22"/>
  <c r="I24" i="22"/>
  <c r="H24" i="22"/>
  <c r="G24" i="22"/>
  <c r="F24" i="22"/>
  <c r="E24" i="22"/>
  <c r="D24" i="22"/>
  <c r="C24" i="22"/>
  <c r="L23" i="22"/>
  <c r="K23" i="22"/>
  <c r="J23" i="22"/>
  <c r="I23" i="22"/>
  <c r="H23" i="22"/>
  <c r="G23" i="22"/>
  <c r="F23" i="22"/>
  <c r="E23" i="22"/>
  <c r="D23" i="22"/>
  <c r="C23" i="22"/>
  <c r="E71" i="21"/>
  <c r="D71" i="21"/>
  <c r="E70" i="21"/>
  <c r="F71" i="21" s="1"/>
  <c r="D70" i="21"/>
  <c r="E69" i="21"/>
  <c r="F70" i="21" s="1"/>
  <c r="G71" i="21" s="1"/>
  <c r="D69" i="21"/>
  <c r="E68" i="21"/>
  <c r="F69" i="21" s="1"/>
  <c r="D68" i="21"/>
  <c r="F67" i="21"/>
  <c r="G68" i="21" s="1"/>
  <c r="H69" i="21" s="1"/>
  <c r="I70" i="21" s="1"/>
  <c r="J71" i="21" s="1"/>
  <c r="E67" i="21"/>
  <c r="F68" i="21" s="1"/>
  <c r="G69" i="21" s="1"/>
  <c r="H70" i="21" s="1"/>
  <c r="I71" i="21" s="1"/>
  <c r="D67" i="21"/>
  <c r="N66" i="21"/>
  <c r="O67" i="21" s="1"/>
  <c r="K66" i="21"/>
  <c r="L67" i="21" s="1"/>
  <c r="M68" i="21" s="1"/>
  <c r="N69" i="21" s="1"/>
  <c r="O70" i="21" s="1"/>
  <c r="F66" i="21"/>
  <c r="G67" i="21" s="1"/>
  <c r="H68" i="21" s="1"/>
  <c r="I69" i="21" s="1"/>
  <c r="J70" i="21" s="1"/>
  <c r="K71" i="21" s="1"/>
  <c r="E66" i="21"/>
  <c r="D66" i="21"/>
  <c r="P65" i="21"/>
  <c r="O65" i="21"/>
  <c r="P66" i="21" s="1"/>
  <c r="N65" i="21"/>
  <c r="O66" i="21" s="1"/>
  <c r="P67" i="21" s="1"/>
  <c r="M65" i="21"/>
  <c r="L65" i="21"/>
  <c r="M66" i="21" s="1"/>
  <c r="N67" i="21" s="1"/>
  <c r="O68" i="21" s="1"/>
  <c r="K65" i="21"/>
  <c r="L66" i="21" s="1"/>
  <c r="M67" i="21" s="1"/>
  <c r="N68" i="21" s="1"/>
  <c r="O69" i="21" s="1"/>
  <c r="J65" i="21"/>
  <c r="I65" i="21"/>
  <c r="J66" i="21" s="1"/>
  <c r="K67" i="21" s="1"/>
  <c r="L68" i="21" s="1"/>
  <c r="M69" i="21" s="1"/>
  <c r="N70" i="21" s="1"/>
  <c r="O71" i="21" s="1"/>
  <c r="H65" i="21"/>
  <c r="I66" i="21" s="1"/>
  <c r="J67" i="21" s="1"/>
  <c r="K68" i="21" s="1"/>
  <c r="L69" i="21" s="1"/>
  <c r="M70" i="21" s="1"/>
  <c r="N71" i="21" s="1"/>
  <c r="G65" i="21"/>
  <c r="F65" i="21"/>
  <c r="G66" i="21" s="1"/>
  <c r="H67" i="21" s="1"/>
  <c r="I68" i="21" s="1"/>
  <c r="J69" i="21" s="1"/>
  <c r="K70" i="21" s="1"/>
  <c r="L71" i="21" s="1"/>
  <c r="E65" i="21"/>
  <c r="D65" i="21"/>
  <c r="E60" i="21"/>
  <c r="D60" i="21"/>
  <c r="E59" i="21"/>
  <c r="D59" i="21"/>
  <c r="E58" i="21"/>
  <c r="F59" i="21" s="1"/>
  <c r="G60" i="21" s="1"/>
  <c r="D58" i="21"/>
  <c r="E57" i="21"/>
  <c r="F58" i="21" s="1"/>
  <c r="D57" i="21"/>
  <c r="E56" i="21"/>
  <c r="F57" i="21" s="1"/>
  <c r="G58" i="21" s="1"/>
  <c r="H59" i="21" s="1"/>
  <c r="I60" i="21" s="1"/>
  <c r="D56" i="21"/>
  <c r="F55" i="21"/>
  <c r="G56" i="21" s="1"/>
  <c r="H57" i="21" s="1"/>
  <c r="I58" i="21" s="1"/>
  <c r="J59" i="21" s="1"/>
  <c r="K60" i="21" s="1"/>
  <c r="E55" i="21"/>
  <c r="F56" i="21" s="1"/>
  <c r="G57" i="21" s="1"/>
  <c r="H58" i="21" s="1"/>
  <c r="I59" i="21" s="1"/>
  <c r="J60" i="21" s="1"/>
  <c r="D55" i="21"/>
  <c r="P54" i="21"/>
  <c r="O54" i="21"/>
  <c r="N54" i="21"/>
  <c r="O55" i="21" s="1"/>
  <c r="M54" i="21"/>
  <c r="N55" i="21" s="1"/>
  <c r="O56" i="21" s="1"/>
  <c r="L54" i="21"/>
  <c r="M55" i="21" s="1"/>
  <c r="N56" i="21" s="1"/>
  <c r="O57" i="21" s="1"/>
  <c r="K54" i="21"/>
  <c r="L55" i="21" s="1"/>
  <c r="M56" i="21" s="1"/>
  <c r="N57" i="21" s="1"/>
  <c r="O58" i="21" s="1"/>
  <c r="J54" i="21"/>
  <c r="K55" i="21" s="1"/>
  <c r="L56" i="21" s="1"/>
  <c r="M57" i="21" s="1"/>
  <c r="N58" i="21" s="1"/>
  <c r="O59" i="21" s="1"/>
  <c r="I54" i="21"/>
  <c r="J55" i="21" s="1"/>
  <c r="K56" i="21" s="1"/>
  <c r="L57" i="21" s="1"/>
  <c r="M58" i="21" s="1"/>
  <c r="N59" i="21" s="1"/>
  <c r="O60" i="21" s="1"/>
  <c r="H54" i="21"/>
  <c r="I55" i="21" s="1"/>
  <c r="J56" i="21" s="1"/>
  <c r="K57" i="21" s="1"/>
  <c r="L58" i="21" s="1"/>
  <c r="M59" i="21" s="1"/>
  <c r="N60" i="21" s="1"/>
  <c r="G54" i="21"/>
  <c r="H55" i="21" s="1"/>
  <c r="I56" i="21" s="1"/>
  <c r="J57" i="21" s="1"/>
  <c r="K58" i="21" s="1"/>
  <c r="L59" i="21" s="1"/>
  <c r="M60" i="21" s="1"/>
  <c r="F54" i="21"/>
  <c r="G55" i="21" s="1"/>
  <c r="H56" i="21" s="1"/>
  <c r="I57" i="21" s="1"/>
  <c r="J58" i="21" s="1"/>
  <c r="K59" i="21" s="1"/>
  <c r="L60" i="21" s="1"/>
  <c r="E54" i="21"/>
  <c r="D54" i="21"/>
  <c r="V54" i="21" s="1"/>
  <c r="C54" i="21"/>
  <c r="P51" i="21"/>
  <c r="O51" i="21"/>
  <c r="O46" i="21" s="1"/>
  <c r="N51" i="21"/>
  <c r="M51" i="21"/>
  <c r="L51" i="21"/>
  <c r="K51" i="21"/>
  <c r="J51" i="21"/>
  <c r="I51" i="21"/>
  <c r="I44" i="21" s="1"/>
  <c r="J45" i="21" s="1"/>
  <c r="K46" i="21" s="1"/>
  <c r="L47" i="21" s="1"/>
  <c r="M48" i="21" s="1"/>
  <c r="N49" i="21" s="1"/>
  <c r="H51" i="21"/>
  <c r="G51" i="21"/>
  <c r="F51" i="21"/>
  <c r="F49" i="21" s="1"/>
  <c r="E51" i="21"/>
  <c r="E45" i="21" s="1"/>
  <c r="F46" i="21" s="1"/>
  <c r="G47" i="21" s="1"/>
  <c r="H48" i="21" s="1"/>
  <c r="I49" i="21" s="1"/>
  <c r="D51" i="21"/>
  <c r="E49" i="21"/>
  <c r="D49" i="21"/>
  <c r="E48" i="21"/>
  <c r="D48" i="21"/>
  <c r="E47" i="21"/>
  <c r="D47" i="21"/>
  <c r="E46" i="21"/>
  <c r="D46" i="21"/>
  <c r="D45" i="21"/>
  <c r="P44" i="21"/>
  <c r="L44" i="21"/>
  <c r="M45" i="21" s="1"/>
  <c r="E44" i="21"/>
  <c r="D44" i="21"/>
  <c r="P43" i="21"/>
  <c r="O43" i="21"/>
  <c r="N43" i="21"/>
  <c r="O44" i="21" s="1"/>
  <c r="P45" i="21" s="1"/>
  <c r="M43" i="21"/>
  <c r="L43" i="21"/>
  <c r="M44" i="21" s="1"/>
  <c r="N45" i="21" s="1"/>
  <c r="K43" i="21"/>
  <c r="J43" i="21"/>
  <c r="K44" i="21" s="1"/>
  <c r="L45" i="21" s="1"/>
  <c r="M46" i="21" s="1"/>
  <c r="N47" i="21" s="1"/>
  <c r="O48" i="21" s="1"/>
  <c r="I43" i="21"/>
  <c r="J44" i="21" s="1"/>
  <c r="K45" i="21" s="1"/>
  <c r="L46" i="21" s="1"/>
  <c r="M47" i="21" s="1"/>
  <c r="N48" i="21" s="1"/>
  <c r="O49" i="21" s="1"/>
  <c r="H43" i="21"/>
  <c r="G43" i="21"/>
  <c r="H44" i="21" s="1"/>
  <c r="F43" i="21"/>
  <c r="G44" i="21" s="1"/>
  <c r="H45" i="21" s="1"/>
  <c r="E43" i="21"/>
  <c r="D43" i="21"/>
  <c r="P40" i="21"/>
  <c r="O40" i="21"/>
  <c r="O32" i="21" s="1"/>
  <c r="P33" i="21" s="1"/>
  <c r="N40" i="21"/>
  <c r="N32" i="21" s="1"/>
  <c r="O33" i="21" s="1"/>
  <c r="P34" i="21" s="1"/>
  <c r="M40" i="21"/>
  <c r="L40" i="21"/>
  <c r="K40" i="21"/>
  <c r="K32" i="21" s="1"/>
  <c r="L33" i="21" s="1"/>
  <c r="M34" i="21" s="1"/>
  <c r="N35" i="21" s="1"/>
  <c r="O36" i="21" s="1"/>
  <c r="J40" i="21"/>
  <c r="I40" i="21"/>
  <c r="I33" i="21" s="1"/>
  <c r="J34" i="21" s="1"/>
  <c r="K35" i="21" s="1"/>
  <c r="L36" i="21" s="1"/>
  <c r="M37" i="21" s="1"/>
  <c r="N38" i="21" s="1"/>
  <c r="H40" i="21"/>
  <c r="G40" i="21"/>
  <c r="G32" i="21" s="1"/>
  <c r="H33" i="21" s="1"/>
  <c r="I34" i="21" s="1"/>
  <c r="J35" i="21" s="1"/>
  <c r="K36" i="21" s="1"/>
  <c r="L37" i="21" s="1"/>
  <c r="M38" i="21" s="1"/>
  <c r="F40" i="21"/>
  <c r="F32" i="21" s="1"/>
  <c r="G33" i="21" s="1"/>
  <c r="H34" i="21" s="1"/>
  <c r="I35" i="21" s="1"/>
  <c r="J36" i="21" s="1"/>
  <c r="K37" i="21" s="1"/>
  <c r="L38" i="21" s="1"/>
  <c r="E40" i="21"/>
  <c r="D40" i="21"/>
  <c r="D38" i="21" s="1"/>
  <c r="E38" i="21"/>
  <c r="E37" i="21"/>
  <c r="E36" i="21"/>
  <c r="F37" i="21" s="1"/>
  <c r="G38" i="21" s="1"/>
  <c r="E35" i="21"/>
  <c r="D35" i="21"/>
  <c r="E34" i="21"/>
  <c r="D34" i="21"/>
  <c r="E33" i="21"/>
  <c r="D33" i="21"/>
  <c r="P32" i="21"/>
  <c r="M32" i="21"/>
  <c r="L32" i="21"/>
  <c r="M33" i="21" s="1"/>
  <c r="N34" i="21" s="1"/>
  <c r="O35" i="21" s="1"/>
  <c r="J32" i="21"/>
  <c r="I32" i="21"/>
  <c r="J33" i="21" s="1"/>
  <c r="K34" i="21" s="1"/>
  <c r="L35" i="21" s="1"/>
  <c r="M36" i="21" s="1"/>
  <c r="H32" i="21"/>
  <c r="E32" i="21"/>
  <c r="D32" i="21"/>
  <c r="P29" i="21"/>
  <c r="O29" i="21"/>
  <c r="N29" i="21"/>
  <c r="N21" i="21" s="1"/>
  <c r="O22" i="21" s="1"/>
  <c r="M29" i="21"/>
  <c r="L29" i="21"/>
  <c r="K29" i="21"/>
  <c r="J29" i="21"/>
  <c r="J21" i="21" s="1"/>
  <c r="K22" i="21" s="1"/>
  <c r="L23" i="21" s="1"/>
  <c r="M24" i="21" s="1"/>
  <c r="N25" i="21" s="1"/>
  <c r="O26" i="21" s="1"/>
  <c r="I29" i="21"/>
  <c r="I22" i="21" s="1"/>
  <c r="J23" i="21" s="1"/>
  <c r="K24" i="21" s="1"/>
  <c r="L25" i="21" s="1"/>
  <c r="M26" i="21" s="1"/>
  <c r="N27" i="21" s="1"/>
  <c r="H29" i="21"/>
  <c r="G29" i="21"/>
  <c r="F29" i="21"/>
  <c r="F25" i="21" s="1"/>
  <c r="G26" i="21" s="1"/>
  <c r="H27" i="21" s="1"/>
  <c r="E29" i="21"/>
  <c r="E27" i="21" s="1"/>
  <c r="D29" i="21"/>
  <c r="D25" i="21" s="1"/>
  <c r="D27" i="21"/>
  <c r="E26" i="21"/>
  <c r="F27" i="21" s="1"/>
  <c r="E25" i="21"/>
  <c r="F26" i="21" s="1"/>
  <c r="G27" i="21" s="1"/>
  <c r="E24" i="21"/>
  <c r="E23" i="21"/>
  <c r="D23" i="21"/>
  <c r="L22" i="21"/>
  <c r="M23" i="21" s="1"/>
  <c r="N24" i="21" s="1"/>
  <c r="O25" i="21" s="1"/>
  <c r="E22" i="21"/>
  <c r="P21" i="21"/>
  <c r="O21" i="21"/>
  <c r="P22" i="21" s="1"/>
  <c r="M21" i="21"/>
  <c r="L21" i="21"/>
  <c r="M22" i="21" s="1"/>
  <c r="N23" i="21" s="1"/>
  <c r="O24" i="21" s="1"/>
  <c r="K21" i="21"/>
  <c r="H21" i="21"/>
  <c r="G21" i="21"/>
  <c r="H22" i="21" s="1"/>
  <c r="I23" i="21" s="1"/>
  <c r="J24" i="21" s="1"/>
  <c r="K25" i="21" s="1"/>
  <c r="L26" i="21" s="1"/>
  <c r="M27" i="21" s="1"/>
  <c r="E21" i="21"/>
  <c r="D21" i="21"/>
  <c r="E16" i="21"/>
  <c r="D16" i="21"/>
  <c r="F15" i="21"/>
  <c r="E15" i="21"/>
  <c r="F16" i="21" s="1"/>
  <c r="D15" i="21"/>
  <c r="E14" i="21"/>
  <c r="D14" i="21"/>
  <c r="E13" i="21"/>
  <c r="F14" i="21" s="1"/>
  <c r="D13" i="21"/>
  <c r="E12" i="21"/>
  <c r="D12" i="21"/>
  <c r="K11" i="21"/>
  <c r="L12" i="21" s="1"/>
  <c r="M13" i="21" s="1"/>
  <c r="N14" i="21" s="1"/>
  <c r="O15" i="21" s="1"/>
  <c r="E11" i="21"/>
  <c r="F12" i="21" s="1"/>
  <c r="G13" i="21" s="1"/>
  <c r="H14" i="21" s="1"/>
  <c r="I15" i="21" s="1"/>
  <c r="J16" i="21" s="1"/>
  <c r="D11" i="21"/>
  <c r="P10" i="21"/>
  <c r="O10" i="21"/>
  <c r="P11" i="21" s="1"/>
  <c r="N10" i="21"/>
  <c r="O11" i="21" s="1"/>
  <c r="M10" i="21"/>
  <c r="N11" i="21" s="1"/>
  <c r="O12" i="21" s="1"/>
  <c r="L10" i="21"/>
  <c r="M11" i="21" s="1"/>
  <c r="N12" i="21" s="1"/>
  <c r="O13" i="21" s="1"/>
  <c r="K10" i="21"/>
  <c r="L11" i="21" s="1"/>
  <c r="M12" i="21" s="1"/>
  <c r="N13" i="21" s="1"/>
  <c r="O14" i="21" s="1"/>
  <c r="J10" i="21"/>
  <c r="I10" i="21"/>
  <c r="J11" i="21" s="1"/>
  <c r="K12" i="21" s="1"/>
  <c r="L13" i="21" s="1"/>
  <c r="M14" i="21" s="1"/>
  <c r="N15" i="21" s="1"/>
  <c r="O16" i="21" s="1"/>
  <c r="H10" i="21"/>
  <c r="I11" i="21" s="1"/>
  <c r="J12" i="21" s="1"/>
  <c r="K13" i="21" s="1"/>
  <c r="L14" i="21" s="1"/>
  <c r="M15" i="21" s="1"/>
  <c r="N16" i="21" s="1"/>
  <c r="G10" i="21"/>
  <c r="F10" i="21"/>
  <c r="G11" i="21" s="1"/>
  <c r="H12" i="21" s="1"/>
  <c r="I13" i="21" s="1"/>
  <c r="J14" i="21" s="1"/>
  <c r="K15" i="21" s="1"/>
  <c r="L16" i="21" s="1"/>
  <c r="E10" i="21"/>
  <c r="F11" i="21" s="1"/>
  <c r="D10" i="21"/>
  <c r="C7" i="21"/>
  <c r="H95" i="21" s="1"/>
  <c r="I60" i="3"/>
  <c r="M59" i="3"/>
  <c r="E59" i="3"/>
  <c r="I58" i="3"/>
  <c r="M57" i="3"/>
  <c r="E57" i="3"/>
  <c r="I56" i="3"/>
  <c r="M55" i="3"/>
  <c r="E55" i="3"/>
  <c r="I54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P32" i="3"/>
  <c r="H32" i="3"/>
  <c r="M31" i="3"/>
  <c r="E31" i="3"/>
  <c r="O29" i="3"/>
  <c r="G29" i="3"/>
  <c r="L28" i="3"/>
  <c r="I27" i="3"/>
  <c r="I36" i="3" s="1"/>
  <c r="P23" i="3"/>
  <c r="P60" i="3" s="1"/>
  <c r="O23" i="3"/>
  <c r="O60" i="3" s="1"/>
  <c r="N23" i="3"/>
  <c r="N32" i="3" s="1"/>
  <c r="M23" i="3"/>
  <c r="M32" i="3" s="1"/>
  <c r="L23" i="3"/>
  <c r="L32" i="3" s="1"/>
  <c r="K23" i="3"/>
  <c r="K32" i="3" s="1"/>
  <c r="J23" i="3"/>
  <c r="J32" i="3" s="1"/>
  <c r="I23" i="3"/>
  <c r="I32" i="3" s="1"/>
  <c r="I41" i="3" s="1"/>
  <c r="H23" i="3"/>
  <c r="H60" i="3" s="1"/>
  <c r="G23" i="3"/>
  <c r="G60" i="3" s="1"/>
  <c r="F23" i="3"/>
  <c r="F32" i="3" s="1"/>
  <c r="E23" i="3"/>
  <c r="E32" i="3" s="1"/>
  <c r="D23" i="3"/>
  <c r="R23" i="3" s="1"/>
  <c r="P22" i="3"/>
  <c r="P59" i="3" s="1"/>
  <c r="O22" i="3"/>
  <c r="O59" i="3" s="1"/>
  <c r="N22" i="3"/>
  <c r="N59" i="3" s="1"/>
  <c r="M22" i="3"/>
  <c r="L22" i="3"/>
  <c r="L59" i="3" s="1"/>
  <c r="K22" i="3"/>
  <c r="K59" i="3" s="1"/>
  <c r="J22" i="3"/>
  <c r="J59" i="3" s="1"/>
  <c r="I22" i="3"/>
  <c r="I59" i="3" s="1"/>
  <c r="H22" i="3"/>
  <c r="H59" i="3" s="1"/>
  <c r="G22" i="3"/>
  <c r="G59" i="3" s="1"/>
  <c r="F22" i="3"/>
  <c r="F59" i="3" s="1"/>
  <c r="E22" i="3"/>
  <c r="D22" i="3"/>
  <c r="R22" i="3" s="1"/>
  <c r="C22" i="3"/>
  <c r="C31" i="3" s="1"/>
  <c r="P21" i="3"/>
  <c r="P30" i="3" s="1"/>
  <c r="O21" i="3"/>
  <c r="O58" i="3" s="1"/>
  <c r="N21" i="3"/>
  <c r="N58" i="3" s="1"/>
  <c r="M21" i="3"/>
  <c r="M58" i="3" s="1"/>
  <c r="L21" i="3"/>
  <c r="L58" i="3" s="1"/>
  <c r="K21" i="3"/>
  <c r="K58" i="3" s="1"/>
  <c r="J21" i="3"/>
  <c r="J30" i="3" s="1"/>
  <c r="I21" i="3"/>
  <c r="I30" i="3" s="1"/>
  <c r="I39" i="3" s="1"/>
  <c r="H21" i="3"/>
  <c r="H30" i="3" s="1"/>
  <c r="G21" i="3"/>
  <c r="G58" i="3" s="1"/>
  <c r="F21" i="3"/>
  <c r="F58" i="3" s="1"/>
  <c r="E21" i="3"/>
  <c r="E58" i="3" s="1"/>
  <c r="D21" i="3"/>
  <c r="R21" i="3" s="1"/>
  <c r="R20" i="3"/>
  <c r="P20" i="3"/>
  <c r="P57" i="3" s="1"/>
  <c r="O20" i="3"/>
  <c r="O57" i="3" s="1"/>
  <c r="N20" i="3"/>
  <c r="N57" i="3" s="1"/>
  <c r="M20" i="3"/>
  <c r="M29" i="3" s="1"/>
  <c r="M38" i="3" s="1"/>
  <c r="L20" i="3"/>
  <c r="L29" i="3" s="1"/>
  <c r="K20" i="3"/>
  <c r="K57" i="3" s="1"/>
  <c r="J20" i="3"/>
  <c r="J57" i="3" s="1"/>
  <c r="I20" i="3"/>
  <c r="I57" i="3" s="1"/>
  <c r="H20" i="3"/>
  <c r="H57" i="3" s="1"/>
  <c r="G20" i="3"/>
  <c r="G57" i="3" s="1"/>
  <c r="F20" i="3"/>
  <c r="F57" i="3" s="1"/>
  <c r="E20" i="3"/>
  <c r="E29" i="3" s="1"/>
  <c r="E38" i="3" s="1"/>
  <c r="D20" i="3"/>
  <c r="C20" i="3" s="1"/>
  <c r="C29" i="3" s="1"/>
  <c r="P19" i="3"/>
  <c r="P28" i="3" s="1"/>
  <c r="O19" i="3"/>
  <c r="O56" i="3" s="1"/>
  <c r="N19" i="3"/>
  <c r="N56" i="3" s="1"/>
  <c r="M19" i="3"/>
  <c r="M56" i="3" s="1"/>
  <c r="L19" i="3"/>
  <c r="L56" i="3" s="1"/>
  <c r="K19" i="3"/>
  <c r="K56" i="3" s="1"/>
  <c r="J19" i="3"/>
  <c r="J28" i="3" s="1"/>
  <c r="I19" i="3"/>
  <c r="I28" i="3" s="1"/>
  <c r="I37" i="3" s="1"/>
  <c r="H19" i="3"/>
  <c r="H28" i="3" s="1"/>
  <c r="G19" i="3"/>
  <c r="G56" i="3" s="1"/>
  <c r="F19" i="3"/>
  <c r="F56" i="3" s="1"/>
  <c r="E19" i="3"/>
  <c r="E56" i="3" s="1"/>
  <c r="D19" i="3"/>
  <c r="R19" i="3" s="1"/>
  <c r="P18" i="3"/>
  <c r="P55" i="3" s="1"/>
  <c r="O18" i="3"/>
  <c r="O27" i="3" s="1"/>
  <c r="O36" i="3" s="1"/>
  <c r="N18" i="3"/>
  <c r="N27" i="3" s="1"/>
  <c r="N36" i="3" s="1"/>
  <c r="M18" i="3"/>
  <c r="M27" i="3" s="1"/>
  <c r="M36" i="3" s="1"/>
  <c r="L18" i="3"/>
  <c r="L27" i="3" s="1"/>
  <c r="L36" i="3" s="1"/>
  <c r="K18" i="3"/>
  <c r="K55" i="3" s="1"/>
  <c r="J18" i="3"/>
  <c r="J55" i="3" s="1"/>
  <c r="I18" i="3"/>
  <c r="I55" i="3" s="1"/>
  <c r="H18" i="3"/>
  <c r="H55" i="3" s="1"/>
  <c r="G18" i="3"/>
  <c r="G27" i="3" s="1"/>
  <c r="G36" i="3" s="1"/>
  <c r="F18" i="3"/>
  <c r="F27" i="3" s="1"/>
  <c r="F36" i="3" s="1"/>
  <c r="E18" i="3"/>
  <c r="E27" i="3" s="1"/>
  <c r="E36" i="3" s="1"/>
  <c r="D18" i="3"/>
  <c r="C18" i="3" s="1"/>
  <c r="C27" i="3" s="1"/>
  <c r="C36" i="3" s="1"/>
  <c r="P17" i="3"/>
  <c r="P26" i="3" s="1"/>
  <c r="O17" i="3"/>
  <c r="O54" i="3" s="1"/>
  <c r="N17" i="3"/>
  <c r="N54" i="3" s="1"/>
  <c r="M17" i="3"/>
  <c r="M54" i="3" s="1"/>
  <c r="L17" i="3"/>
  <c r="L26" i="3" s="1"/>
  <c r="K17" i="3"/>
  <c r="K26" i="3" s="1"/>
  <c r="J17" i="3"/>
  <c r="J26" i="3" s="1"/>
  <c r="I17" i="3"/>
  <c r="I26" i="3" s="1"/>
  <c r="I35" i="3" s="1"/>
  <c r="H17" i="3"/>
  <c r="H26" i="3" s="1"/>
  <c r="G17" i="3"/>
  <c r="G54" i="3" s="1"/>
  <c r="F17" i="3"/>
  <c r="F54" i="3" s="1"/>
  <c r="E17" i="3"/>
  <c r="E54" i="3" s="1"/>
  <c r="D17" i="3"/>
  <c r="R17" i="3" s="1"/>
  <c r="R14" i="3"/>
  <c r="C14" i="3"/>
  <c r="C51" i="3" s="1"/>
  <c r="R13" i="3"/>
  <c r="C13" i="3"/>
  <c r="R12" i="3"/>
  <c r="C12" i="3"/>
  <c r="C49" i="3" s="1"/>
  <c r="C11" i="3"/>
  <c r="R11" i="3" s="1"/>
  <c r="R10" i="3"/>
  <c r="C10" i="3"/>
  <c r="C47" i="3" s="1"/>
  <c r="R9" i="3"/>
  <c r="C9" i="3"/>
  <c r="R8" i="3"/>
  <c r="C8" i="3"/>
  <c r="C45" i="3" s="1"/>
  <c r="R7" i="3"/>
  <c r="C7" i="3"/>
  <c r="C44" i="3" s="1"/>
  <c r="L37" i="3" l="1"/>
  <c r="P20" i="6"/>
  <c r="R31" i="6"/>
  <c r="C38" i="3"/>
  <c r="L38" i="3"/>
  <c r="K41" i="3"/>
  <c r="G38" i="3"/>
  <c r="S31" i="6"/>
  <c r="S19" i="27"/>
  <c r="M19" i="27" s="1"/>
  <c r="F19" i="27"/>
  <c r="I44" i="27" s="1"/>
  <c r="L35" i="3"/>
  <c r="O38" i="3"/>
  <c r="Q20" i="6"/>
  <c r="R20" i="6"/>
  <c r="T20" i="6"/>
  <c r="M41" i="3"/>
  <c r="E40" i="3"/>
  <c r="Q31" i="6"/>
  <c r="P31" i="6"/>
  <c r="L41" i="3"/>
  <c r="P23" i="21"/>
  <c r="E41" i="3"/>
  <c r="C40" i="3"/>
  <c r="F41" i="3"/>
  <c r="N41" i="3"/>
  <c r="M40" i="3"/>
  <c r="L31" i="6"/>
  <c r="M31" i="6"/>
  <c r="H41" i="3"/>
  <c r="V11" i="21"/>
  <c r="M20" i="6"/>
  <c r="L20" i="6"/>
  <c r="U20" i="6"/>
  <c r="U14" i="25"/>
  <c r="AL14" i="25" s="1"/>
  <c r="X14" i="25"/>
  <c r="W14" i="25" s="1"/>
  <c r="U20" i="25"/>
  <c r="P35" i="3"/>
  <c r="N20" i="6"/>
  <c r="T31" i="6"/>
  <c r="C23" i="3"/>
  <c r="C32" i="3" s="1"/>
  <c r="C41" i="3" s="1"/>
  <c r="E26" i="3"/>
  <c r="E35" i="3" s="1"/>
  <c r="M26" i="3"/>
  <c r="M35" i="3" s="1"/>
  <c r="H27" i="3"/>
  <c r="H36" i="3" s="1"/>
  <c r="P27" i="3"/>
  <c r="P36" i="3" s="1"/>
  <c r="K28" i="3"/>
  <c r="K37" i="3" s="1"/>
  <c r="F29" i="3"/>
  <c r="F38" i="3" s="1"/>
  <c r="N29" i="3"/>
  <c r="N38" i="3" s="1"/>
  <c r="L31" i="3"/>
  <c r="L40" i="3" s="1"/>
  <c r="G32" i="3"/>
  <c r="G41" i="3" s="1"/>
  <c r="O32" i="3"/>
  <c r="O41" i="3" s="1"/>
  <c r="H54" i="3"/>
  <c r="P54" i="3"/>
  <c r="L55" i="3"/>
  <c r="H56" i="3"/>
  <c r="P56" i="3"/>
  <c r="L57" i="3"/>
  <c r="H58" i="3"/>
  <c r="P58" i="3"/>
  <c r="F21" i="21"/>
  <c r="G22" i="21" s="1"/>
  <c r="H23" i="21" s="1"/>
  <c r="I24" i="21" s="1"/>
  <c r="J25" i="21" s="1"/>
  <c r="K26" i="21" s="1"/>
  <c r="L27" i="21" s="1"/>
  <c r="D26" i="21"/>
  <c r="D36" i="21"/>
  <c r="F48" i="21"/>
  <c r="G49" i="21" s="1"/>
  <c r="V49" i="21" s="1"/>
  <c r="I35" i="23"/>
  <c r="X35" i="23" s="1"/>
  <c r="I24" i="7"/>
  <c r="P21" i="25"/>
  <c r="T21" i="25" s="1"/>
  <c r="R21" i="25" s="1"/>
  <c r="Y26" i="27"/>
  <c r="M42" i="27"/>
  <c r="R48" i="14"/>
  <c r="R54" i="14"/>
  <c r="R26" i="14"/>
  <c r="N26" i="3"/>
  <c r="N35" i="3" s="1"/>
  <c r="C21" i="3"/>
  <c r="C30" i="3" s="1"/>
  <c r="C39" i="3" s="1"/>
  <c r="G26" i="3"/>
  <c r="G35" i="3" s="1"/>
  <c r="O26" i="3"/>
  <c r="O35" i="3" s="1"/>
  <c r="J27" i="3"/>
  <c r="J36" i="3" s="1"/>
  <c r="E28" i="3"/>
  <c r="E37" i="3" s="1"/>
  <c r="M28" i="3"/>
  <c r="M37" i="3" s="1"/>
  <c r="H29" i="3"/>
  <c r="H38" i="3" s="1"/>
  <c r="P29" i="3"/>
  <c r="P38" i="3" s="1"/>
  <c r="K30" i="3"/>
  <c r="F31" i="3"/>
  <c r="F40" i="3" s="1"/>
  <c r="N31" i="3"/>
  <c r="N40" i="3" s="1"/>
  <c r="J54" i="3"/>
  <c r="F55" i="3"/>
  <c r="N55" i="3"/>
  <c r="J56" i="3"/>
  <c r="J58" i="3"/>
  <c r="J60" i="3"/>
  <c r="R7" i="21"/>
  <c r="F24" i="21"/>
  <c r="G25" i="21" s="1"/>
  <c r="H26" i="21" s="1"/>
  <c r="I27" i="21" s="1"/>
  <c r="F33" i="21"/>
  <c r="G34" i="21" s="1"/>
  <c r="H35" i="21" s="1"/>
  <c r="I36" i="21" s="1"/>
  <c r="J37" i="21" s="1"/>
  <c r="K38" i="21" s="1"/>
  <c r="N33" i="21"/>
  <c r="O34" i="21" s="1"/>
  <c r="C34" i="21" s="1"/>
  <c r="T34" i="21" s="1"/>
  <c r="F36" i="21"/>
  <c r="G37" i="21" s="1"/>
  <c r="H38" i="21" s="1"/>
  <c r="F45" i="21"/>
  <c r="G46" i="21" s="1"/>
  <c r="H47" i="21" s="1"/>
  <c r="I48" i="21" s="1"/>
  <c r="J49" i="21" s="1"/>
  <c r="F47" i="21"/>
  <c r="G48" i="21" s="1"/>
  <c r="H49" i="21" s="1"/>
  <c r="D95" i="21"/>
  <c r="K16" i="7"/>
  <c r="P13" i="25"/>
  <c r="T13" i="25" s="1"/>
  <c r="P15" i="25"/>
  <c r="T15" i="25" s="1"/>
  <c r="E20" i="27"/>
  <c r="H45" i="27" s="1"/>
  <c r="S20" i="27"/>
  <c r="Q17" i="14"/>
  <c r="V11" i="14"/>
  <c r="G17" i="14"/>
  <c r="Z11" i="14"/>
  <c r="V47" i="14"/>
  <c r="V53" i="14"/>
  <c r="V25" i="14"/>
  <c r="V41" i="14"/>
  <c r="X32" i="23"/>
  <c r="R18" i="3"/>
  <c r="K27" i="3"/>
  <c r="K36" i="3" s="1"/>
  <c r="F28" i="3"/>
  <c r="F37" i="3" s="1"/>
  <c r="N28" i="3"/>
  <c r="N37" i="3" s="1"/>
  <c r="I29" i="3"/>
  <c r="I38" i="3" s="1"/>
  <c r="L30" i="3"/>
  <c r="L39" i="3" s="1"/>
  <c r="G31" i="3"/>
  <c r="G40" i="3" s="1"/>
  <c r="O31" i="3"/>
  <c r="O40" i="3" s="1"/>
  <c r="K54" i="3"/>
  <c r="G55" i="3"/>
  <c r="O55" i="3"/>
  <c r="K60" i="3"/>
  <c r="T7" i="21"/>
  <c r="I21" i="21"/>
  <c r="J22" i="21" s="1"/>
  <c r="K23" i="21" s="1"/>
  <c r="L24" i="21" s="1"/>
  <c r="M25" i="21" s="1"/>
  <c r="N26" i="21" s="1"/>
  <c r="O27" i="21" s="1"/>
  <c r="D22" i="21"/>
  <c r="D24" i="21"/>
  <c r="V24" i="21" s="1"/>
  <c r="D37" i="21"/>
  <c r="E95" i="21"/>
  <c r="X39" i="23"/>
  <c r="O8" i="25"/>
  <c r="S8" i="25" s="1"/>
  <c r="R8" i="25" s="1"/>
  <c r="O9" i="25"/>
  <c r="S9" i="25" s="1"/>
  <c r="R9" i="25" s="1"/>
  <c r="U9" i="25" s="1"/>
  <c r="P11" i="25"/>
  <c r="T11" i="25" s="1"/>
  <c r="O12" i="25"/>
  <c r="S12" i="25" s="1"/>
  <c r="R12" i="25" s="1"/>
  <c r="U12" i="25" s="1"/>
  <c r="P23" i="25"/>
  <c r="T23" i="25" s="1"/>
  <c r="J20" i="27"/>
  <c r="L45" i="27"/>
  <c r="I23" i="24"/>
  <c r="I24" i="24" s="1"/>
  <c r="J24" i="24"/>
  <c r="K41" i="14"/>
  <c r="K25" i="14" s="1"/>
  <c r="C19" i="3"/>
  <c r="C28" i="3" s="1"/>
  <c r="C37" i="3" s="1"/>
  <c r="G28" i="3"/>
  <c r="G37" i="3" s="1"/>
  <c r="O28" i="3"/>
  <c r="O37" i="3" s="1"/>
  <c r="J29" i="3"/>
  <c r="E30" i="3"/>
  <c r="E39" i="3" s="1"/>
  <c r="M30" i="3"/>
  <c r="M39" i="3" s="1"/>
  <c r="H31" i="3"/>
  <c r="H40" i="3" s="1"/>
  <c r="P31" i="3"/>
  <c r="P40" i="3" s="1"/>
  <c r="L54" i="3"/>
  <c r="L60" i="3"/>
  <c r="F23" i="21"/>
  <c r="G24" i="21" s="1"/>
  <c r="H25" i="21" s="1"/>
  <c r="I26" i="21" s="1"/>
  <c r="J27" i="21" s="1"/>
  <c r="F38" i="21"/>
  <c r="N46" i="21"/>
  <c r="O47" i="21" s="1"/>
  <c r="F95" i="21"/>
  <c r="X36" i="23"/>
  <c r="X41" i="23"/>
  <c r="K25" i="7"/>
  <c r="P17" i="25"/>
  <c r="T17" i="25" s="1"/>
  <c r="R17" i="25" s="1"/>
  <c r="U22" i="25"/>
  <c r="P24" i="25"/>
  <c r="T24" i="25" s="1"/>
  <c r="E15" i="27"/>
  <c r="H40" i="27" s="1"/>
  <c r="M41" i="27"/>
  <c r="I16" i="27"/>
  <c r="J22" i="27"/>
  <c r="U26" i="27"/>
  <c r="F26" i="27" s="1"/>
  <c r="I51" i="27" s="1"/>
  <c r="E11" i="24"/>
  <c r="S23" i="24"/>
  <c r="AF17" i="14"/>
  <c r="C95" i="21"/>
  <c r="X42" i="23"/>
  <c r="K29" i="3"/>
  <c r="K38" i="3" s="1"/>
  <c r="F30" i="3"/>
  <c r="F39" i="3" s="1"/>
  <c r="N30" i="3"/>
  <c r="N39" i="3" s="1"/>
  <c r="I31" i="3"/>
  <c r="I40" i="3" s="1"/>
  <c r="C48" i="3"/>
  <c r="E60" i="3"/>
  <c r="M60" i="3"/>
  <c r="F35" i="21"/>
  <c r="G36" i="21" s="1"/>
  <c r="H37" i="21" s="1"/>
  <c r="I38" i="21" s="1"/>
  <c r="V43" i="21"/>
  <c r="N44" i="21"/>
  <c r="O45" i="21" s="1"/>
  <c r="P46" i="21" s="1"/>
  <c r="P55" i="21"/>
  <c r="C55" i="21" s="1"/>
  <c r="G95" i="21"/>
  <c r="I31" i="23"/>
  <c r="X31" i="23" s="1"/>
  <c r="T16" i="7"/>
  <c r="O18" i="25"/>
  <c r="S18" i="25" s="1"/>
  <c r="R18" i="25" s="1"/>
  <c r="P19" i="25"/>
  <c r="T19" i="25" s="1"/>
  <c r="R22" i="27"/>
  <c r="Y22" i="27"/>
  <c r="U22" i="27" s="1"/>
  <c r="F22" i="27" s="1"/>
  <c r="I47" i="27" s="1"/>
  <c r="M49" i="27"/>
  <c r="I24" i="27"/>
  <c r="I26" i="27"/>
  <c r="M51" i="27"/>
  <c r="J53" i="14"/>
  <c r="J47" i="14"/>
  <c r="J41" i="14"/>
  <c r="J25" i="14"/>
  <c r="AD53" i="14"/>
  <c r="AD47" i="14"/>
  <c r="AD25" i="14"/>
  <c r="F46" i="14"/>
  <c r="K11" i="14" s="1"/>
  <c r="F26" i="3"/>
  <c r="F35" i="3" s="1"/>
  <c r="C17" i="3"/>
  <c r="C26" i="3" s="1"/>
  <c r="C35" i="3" s="1"/>
  <c r="G30" i="3"/>
  <c r="G39" i="3" s="1"/>
  <c r="O30" i="3"/>
  <c r="O39" i="3" s="1"/>
  <c r="J31" i="3"/>
  <c r="J40" i="3" s="1"/>
  <c r="F60" i="3"/>
  <c r="N60" i="3"/>
  <c r="N37" i="21"/>
  <c r="O38" i="21" s="1"/>
  <c r="I46" i="21"/>
  <c r="J47" i="21" s="1"/>
  <c r="K48" i="21" s="1"/>
  <c r="L49" i="21" s="1"/>
  <c r="C65" i="21"/>
  <c r="X38" i="23"/>
  <c r="K18" i="7"/>
  <c r="U8" i="25"/>
  <c r="AL8" i="25" s="1"/>
  <c r="U16" i="25"/>
  <c r="AL16" i="25" s="1"/>
  <c r="X16" i="25"/>
  <c r="I18" i="27"/>
  <c r="M43" i="27"/>
  <c r="L44" i="27"/>
  <c r="Z23" i="24"/>
  <c r="Z24" i="24" s="1"/>
  <c r="U24" i="24"/>
  <c r="Y47" i="14"/>
  <c r="Y53" i="14"/>
  <c r="Y41" i="14"/>
  <c r="Y25" i="14" s="1"/>
  <c r="K31" i="3"/>
  <c r="K40" i="3" s="1"/>
  <c r="C10" i="21"/>
  <c r="V21" i="21"/>
  <c r="N22" i="21"/>
  <c r="O23" i="21" s="1"/>
  <c r="P24" i="21" s="1"/>
  <c r="K33" i="21"/>
  <c r="L34" i="21" s="1"/>
  <c r="M35" i="21" s="1"/>
  <c r="N36" i="21" s="1"/>
  <c r="O37" i="21" s="1"/>
  <c r="F34" i="21"/>
  <c r="G35" i="21" s="1"/>
  <c r="H36" i="21" s="1"/>
  <c r="I37" i="21" s="1"/>
  <c r="J38" i="21" s="1"/>
  <c r="I45" i="21"/>
  <c r="J46" i="21" s="1"/>
  <c r="K47" i="21" s="1"/>
  <c r="L48" i="21" s="1"/>
  <c r="M49" i="21" s="1"/>
  <c r="T65" i="21"/>
  <c r="X40" i="23"/>
  <c r="U10" i="25"/>
  <c r="AL10" i="25" s="1"/>
  <c r="U18" i="25"/>
  <c r="R20" i="25"/>
  <c r="J15" i="27"/>
  <c r="L40" i="27"/>
  <c r="R16" i="27"/>
  <c r="Y16" i="27"/>
  <c r="U16" i="27" s="1"/>
  <c r="F16" i="27" s="1"/>
  <c r="I41" i="27" s="1"/>
  <c r="E18" i="27"/>
  <c r="H43" i="27" s="1"/>
  <c r="S18" i="27"/>
  <c r="M18" i="27" s="1"/>
  <c r="S23" i="27"/>
  <c r="M23" i="27" s="1"/>
  <c r="R24" i="27"/>
  <c r="Y24" i="27"/>
  <c r="U24" i="27" s="1"/>
  <c r="F24" i="27" s="1"/>
  <c r="I49" i="27" s="1"/>
  <c r="T23" i="24"/>
  <c r="T24" i="24" s="1"/>
  <c r="O11" i="14"/>
  <c r="K24" i="14"/>
  <c r="J21" i="27"/>
  <c r="L48" i="27"/>
  <c r="R11" i="14"/>
  <c r="N41" i="14"/>
  <c r="N25" i="14" s="1"/>
  <c r="N53" i="14"/>
  <c r="W41" i="14"/>
  <c r="W53" i="14"/>
  <c r="R41" i="14"/>
  <c r="R25" i="14" s="1"/>
  <c r="N47" i="14"/>
  <c r="AH20" i="15"/>
  <c r="AJ10" i="15"/>
  <c r="AJ20" i="15" s="1"/>
  <c r="O47" i="14"/>
  <c r="Z47" i="14"/>
  <c r="Z53" i="14"/>
  <c r="T25" i="14"/>
  <c r="T41" i="14"/>
  <c r="O53" i="14"/>
  <c r="Z53" i="15"/>
  <c r="Z73" i="15"/>
  <c r="Z63" i="15"/>
  <c r="Z33" i="15"/>
  <c r="P47" i="14"/>
  <c r="P53" i="14"/>
  <c r="AA47" i="14"/>
  <c r="AA53" i="14"/>
  <c r="V42" i="14"/>
  <c r="V26" i="14" s="1"/>
  <c r="T47" i="14"/>
  <c r="G52" i="14"/>
  <c r="F52" i="14" s="1"/>
  <c r="L11" i="14" s="1"/>
  <c r="L17" i="14" s="1"/>
  <c r="N11" i="15"/>
  <c r="N21" i="15" s="1"/>
  <c r="Y17" i="27"/>
  <c r="U17" i="27" s="1"/>
  <c r="S21" i="27"/>
  <c r="Q47" i="14"/>
  <c r="Q53" i="14"/>
  <c r="U47" i="14"/>
  <c r="U53" i="14"/>
  <c r="H22" i="15"/>
  <c r="AA12" i="15"/>
  <c r="AA22" i="15" s="1"/>
  <c r="K21" i="15"/>
  <c r="N73" i="15"/>
  <c r="N53" i="15"/>
  <c r="N33" i="15"/>
  <c r="N63" i="15"/>
  <c r="W63" i="15"/>
  <c r="W53" i="15"/>
  <c r="W33" i="15" s="1"/>
  <c r="W73" i="15"/>
  <c r="P41" i="16"/>
  <c r="P25" i="16" s="1"/>
  <c r="P53" i="16"/>
  <c r="P47" i="16"/>
  <c r="W25" i="14"/>
  <c r="Z41" i="14"/>
  <c r="Z25" i="14" s="1"/>
  <c r="W47" i="14"/>
  <c r="R12" i="15"/>
  <c r="J63" i="15"/>
  <c r="J73" i="15"/>
  <c r="J53" i="15"/>
  <c r="J33" i="15" s="1"/>
  <c r="O73" i="15"/>
  <c r="O33" i="15"/>
  <c r="O63" i="15"/>
  <c r="O53" i="15"/>
  <c r="Y73" i="15"/>
  <c r="Y53" i="15"/>
  <c r="Y33" i="15" s="1"/>
  <c r="Y63" i="15"/>
  <c r="AE41" i="14"/>
  <c r="AE25" i="14" s="1"/>
  <c r="O41" i="14"/>
  <c r="O25" i="14" s="1"/>
  <c r="AA11" i="14"/>
  <c r="AA25" i="14"/>
  <c r="P41" i="14"/>
  <c r="P25" i="14" s="1"/>
  <c r="AC41" i="14"/>
  <c r="AC25" i="14" s="1"/>
  <c r="W11" i="15"/>
  <c r="W21" i="15" s="1"/>
  <c r="Q73" i="15"/>
  <c r="Q63" i="15"/>
  <c r="Q53" i="15"/>
  <c r="Q33" i="15" s="1"/>
  <c r="V11" i="15"/>
  <c r="L63" i="15"/>
  <c r="AF12" i="15" s="1"/>
  <c r="L73" i="15"/>
  <c r="L53" i="15"/>
  <c r="L33" i="15" s="1"/>
  <c r="V63" i="15"/>
  <c r="AE54" i="16"/>
  <c r="AE48" i="16"/>
  <c r="K73" i="15"/>
  <c r="K53" i="15"/>
  <c r="K33" i="15" s="1"/>
  <c r="AA63" i="15"/>
  <c r="W74" i="15"/>
  <c r="AD73" i="15"/>
  <c r="AD63" i="15"/>
  <c r="AD33" i="15"/>
  <c r="AA21" i="15"/>
  <c r="P53" i="15"/>
  <c r="P33" i="15" s="1"/>
  <c r="P73" i="15"/>
  <c r="AE73" i="15"/>
  <c r="AE63" i="15"/>
  <c r="AE53" i="15"/>
  <c r="AE33" i="15" s="1"/>
  <c r="AF17" i="16"/>
  <c r="AE11" i="16"/>
  <c r="AE17" i="16" s="1"/>
  <c r="AL11" i="15"/>
  <c r="AL21" i="15" s="1"/>
  <c r="R73" i="15"/>
  <c r="R63" i="15"/>
  <c r="R53" i="15"/>
  <c r="R33" i="15" s="1"/>
  <c r="AC73" i="15"/>
  <c r="AC63" i="15"/>
  <c r="AC53" i="15"/>
  <c r="AC33" i="15" s="1"/>
  <c r="T53" i="15"/>
  <c r="K63" i="15"/>
  <c r="T63" i="15"/>
  <c r="T33" i="15"/>
  <c r="W54" i="15"/>
  <c r="W34" i="15" s="1"/>
  <c r="Z11" i="16"/>
  <c r="F11" i="16"/>
  <c r="F17" i="16" s="1"/>
  <c r="AE10" i="15"/>
  <c r="U11" i="15"/>
  <c r="G72" i="15"/>
  <c r="F72" i="15" s="1"/>
  <c r="L11" i="15" s="1"/>
  <c r="L21" i="15" s="1"/>
  <c r="G52" i="15"/>
  <c r="F52" i="15" s="1"/>
  <c r="G11" i="15" s="1"/>
  <c r="U63" i="15"/>
  <c r="U53" i="15"/>
  <c r="U33" i="15" s="1"/>
  <c r="U73" i="15"/>
  <c r="AA53" i="15"/>
  <c r="AA33" i="15" s="1"/>
  <c r="P63" i="15"/>
  <c r="Y41" i="16"/>
  <c r="Y25" i="16" s="1"/>
  <c r="Y53" i="16"/>
  <c r="Y47" i="16"/>
  <c r="Q25" i="16"/>
  <c r="Q53" i="16"/>
  <c r="AA53" i="16"/>
  <c r="AA47" i="16"/>
  <c r="AA41" i="16"/>
  <c r="AA25" i="16" s="1"/>
  <c r="AA54" i="16"/>
  <c r="AA48" i="16"/>
  <c r="AA42" i="16"/>
  <c r="AA26" i="16" s="1"/>
  <c r="R17" i="16"/>
  <c r="L47" i="16"/>
  <c r="L53" i="16"/>
  <c r="L41" i="16"/>
  <c r="L25" i="16" s="1"/>
  <c r="AD53" i="16"/>
  <c r="AD47" i="16"/>
  <c r="K41" i="16"/>
  <c r="K25" i="16" s="1"/>
  <c r="K53" i="16"/>
  <c r="K47" i="17"/>
  <c r="K25" i="17"/>
  <c r="K53" i="17"/>
  <c r="K41" i="17"/>
  <c r="AC10" i="16"/>
  <c r="AC16" i="16" s="1"/>
  <c r="H12" i="16"/>
  <c r="V17" i="16"/>
  <c r="V47" i="16"/>
  <c r="V25" i="16"/>
  <c r="V53" i="16"/>
  <c r="V41" i="16"/>
  <c r="P25" i="17"/>
  <c r="R53" i="16"/>
  <c r="R41" i="16"/>
  <c r="R25" i="16" s="1"/>
  <c r="R47" i="16"/>
  <c r="N53" i="16"/>
  <c r="N41" i="16"/>
  <c r="N25" i="16" s="1"/>
  <c r="N47" i="16"/>
  <c r="T47" i="16"/>
  <c r="T41" i="16"/>
  <c r="T25" i="16"/>
  <c r="W47" i="17"/>
  <c r="W41" i="17"/>
  <c r="W53" i="17"/>
  <c r="W25" i="17"/>
  <c r="O11" i="16"/>
  <c r="Q47" i="17"/>
  <c r="Q41" i="17"/>
  <c r="Q25" i="17" s="1"/>
  <c r="Q53" i="17"/>
  <c r="L53" i="28"/>
  <c r="L47" i="28"/>
  <c r="L41" i="28"/>
  <c r="L25" i="28"/>
  <c r="V53" i="28"/>
  <c r="V47" i="28"/>
  <c r="V41" i="28"/>
  <c r="V25" i="28" s="1"/>
  <c r="J25" i="16"/>
  <c r="W25" i="16"/>
  <c r="Y41" i="17"/>
  <c r="Y25" i="17" s="1"/>
  <c r="Y53" i="17"/>
  <c r="P54" i="17"/>
  <c r="P42" i="17"/>
  <c r="P26" i="17" s="1"/>
  <c r="AC26" i="17"/>
  <c r="V47" i="17"/>
  <c r="W11" i="18"/>
  <c r="W17" i="18" s="1"/>
  <c r="R17" i="18"/>
  <c r="O41" i="16"/>
  <c r="O25" i="16" s="1"/>
  <c r="W47" i="16"/>
  <c r="AG24" i="17"/>
  <c r="AA17" i="17"/>
  <c r="AE16" i="17"/>
  <c r="Z53" i="17"/>
  <c r="Z47" i="17"/>
  <c r="Z25" i="17"/>
  <c r="F40" i="17"/>
  <c r="G11" i="17" s="1"/>
  <c r="R41" i="17"/>
  <c r="R47" i="17"/>
  <c r="R25" i="17"/>
  <c r="R53" i="17"/>
  <c r="AC41" i="17"/>
  <c r="AC25" i="17" s="1"/>
  <c r="AC53" i="17"/>
  <c r="AC47" i="17"/>
  <c r="Z41" i="17"/>
  <c r="Y47" i="17"/>
  <c r="AA17" i="16"/>
  <c r="AC53" i="16"/>
  <c r="AE41" i="16"/>
  <c r="AE25" i="16" s="1"/>
  <c r="AE47" i="16"/>
  <c r="AC41" i="16"/>
  <c r="AC25" i="16" s="1"/>
  <c r="J53" i="16"/>
  <c r="AF17" i="17"/>
  <c r="J41" i="17"/>
  <c r="J25" i="17" s="1"/>
  <c r="J47" i="17"/>
  <c r="J53" i="17"/>
  <c r="T41" i="17"/>
  <c r="T25" i="17" s="1"/>
  <c r="T47" i="17"/>
  <c r="Q11" i="17"/>
  <c r="L53" i="17"/>
  <c r="L41" i="17"/>
  <c r="L25" i="17" s="1"/>
  <c r="AE47" i="17"/>
  <c r="AE53" i="17"/>
  <c r="U47" i="17"/>
  <c r="U25" i="17"/>
  <c r="U53" i="17"/>
  <c r="AE41" i="17"/>
  <c r="AE25" i="17" s="1"/>
  <c r="Z47" i="18"/>
  <c r="Z25" i="18"/>
  <c r="Z53" i="18"/>
  <c r="Z41" i="18"/>
  <c r="N24" i="18"/>
  <c r="O11" i="18"/>
  <c r="Y53" i="18"/>
  <c r="Y47" i="18"/>
  <c r="Y41" i="18"/>
  <c r="Y25" i="18" s="1"/>
  <c r="N53" i="17"/>
  <c r="N47" i="17"/>
  <c r="N25" i="17"/>
  <c r="V53" i="17"/>
  <c r="V41" i="17"/>
  <c r="V25" i="17" s="1"/>
  <c r="AE16" i="18"/>
  <c r="AC10" i="18"/>
  <c r="AC16" i="18" s="1"/>
  <c r="U41" i="16"/>
  <c r="U25" i="16" s="1"/>
  <c r="U47" i="16"/>
  <c r="G46" i="16"/>
  <c r="F46" i="16" s="1"/>
  <c r="K11" i="16" s="1"/>
  <c r="O47" i="16"/>
  <c r="AC47" i="16"/>
  <c r="G52" i="16"/>
  <c r="F52" i="16" s="1"/>
  <c r="L11" i="16" s="1"/>
  <c r="L17" i="16" s="1"/>
  <c r="AE53" i="16"/>
  <c r="U11" i="17"/>
  <c r="P53" i="17"/>
  <c r="P47" i="17"/>
  <c r="AF12" i="17" s="1"/>
  <c r="AC42" i="17"/>
  <c r="AC54" i="17"/>
  <c r="P48" i="17"/>
  <c r="AD26" i="18"/>
  <c r="P53" i="18"/>
  <c r="P41" i="18"/>
  <c r="P25" i="18" s="1"/>
  <c r="Q11" i="18"/>
  <c r="Z54" i="28"/>
  <c r="Z48" i="28"/>
  <c r="Z42" i="28"/>
  <c r="Z26" i="28" s="1"/>
  <c r="N53" i="18"/>
  <c r="N47" i="18"/>
  <c r="N25" i="18"/>
  <c r="U54" i="18"/>
  <c r="U48" i="18"/>
  <c r="G46" i="17"/>
  <c r="F46" i="17" s="1"/>
  <c r="K11" i="17" s="1"/>
  <c r="G52" i="17"/>
  <c r="F52" i="17" s="1"/>
  <c r="L11" i="17" s="1"/>
  <c r="L17" i="17" s="1"/>
  <c r="Q41" i="18"/>
  <c r="Q25" i="18" s="1"/>
  <c r="Q53" i="18"/>
  <c r="AG24" i="18"/>
  <c r="R41" i="18"/>
  <c r="R25" i="18" s="1"/>
  <c r="R53" i="18"/>
  <c r="U42" i="18"/>
  <c r="U26" i="18" s="1"/>
  <c r="V47" i="18"/>
  <c r="V25" i="18"/>
  <c r="V53" i="18"/>
  <c r="AD54" i="18"/>
  <c r="AD42" i="18"/>
  <c r="AD41" i="17"/>
  <c r="AD25" i="17" s="1"/>
  <c r="AD47" i="17"/>
  <c r="H17" i="18"/>
  <c r="AF17" i="18"/>
  <c r="G40" i="18"/>
  <c r="F40" i="18" s="1"/>
  <c r="G11" i="18" s="1"/>
  <c r="G46" i="18"/>
  <c r="F46" i="18" s="1"/>
  <c r="K11" i="18" s="1"/>
  <c r="W53" i="18"/>
  <c r="W25" i="18"/>
  <c r="W47" i="18"/>
  <c r="K54" i="18"/>
  <c r="K48" i="18"/>
  <c r="K26" i="18"/>
  <c r="K47" i="28"/>
  <c r="K25" i="28"/>
  <c r="K53" i="28"/>
  <c r="K41" i="28"/>
  <c r="U47" i="28"/>
  <c r="U53" i="28"/>
  <c r="U41" i="28"/>
  <c r="U25" i="28" s="1"/>
  <c r="AE47" i="28"/>
  <c r="AE25" i="28"/>
  <c r="AE53" i="28"/>
  <c r="AE41" i="28"/>
  <c r="K41" i="18"/>
  <c r="K47" i="18"/>
  <c r="K25" i="18"/>
  <c r="U41" i="18"/>
  <c r="U25" i="18" s="1"/>
  <c r="U47" i="18"/>
  <c r="AE41" i="18"/>
  <c r="AE25" i="18" s="1"/>
  <c r="AE47" i="18"/>
  <c r="AE53" i="18"/>
  <c r="R11" i="17"/>
  <c r="J47" i="18"/>
  <c r="Z47" i="28"/>
  <c r="AC48" i="18"/>
  <c r="N41" i="28"/>
  <c r="N25" i="28" s="1"/>
  <c r="AA42" i="28"/>
  <c r="AA26" i="28" s="1"/>
  <c r="N47" i="28"/>
  <c r="AA48" i="28"/>
  <c r="P25" i="28"/>
  <c r="Q41" i="28"/>
  <c r="Q25" i="28" s="1"/>
  <c r="Q47" i="28"/>
  <c r="AA41" i="28"/>
  <c r="AA47" i="28"/>
  <c r="AA25" i="28"/>
  <c r="O41" i="28"/>
  <c r="O25" i="28" s="1"/>
  <c r="O47" i="28"/>
  <c r="O11" i="28"/>
  <c r="F40" i="28"/>
  <c r="G11" i="28" s="1"/>
  <c r="R41" i="28"/>
  <c r="R47" i="28"/>
  <c r="R25" i="28"/>
  <c r="R53" i="28"/>
  <c r="AC41" i="28"/>
  <c r="AC25" i="28" s="1"/>
  <c r="AC47" i="28"/>
  <c r="AC53" i="28"/>
  <c r="F46" i="28"/>
  <c r="K11" i="28" s="1"/>
  <c r="P47" i="28"/>
  <c r="J41" i="28"/>
  <c r="J47" i="28"/>
  <c r="J25" i="28"/>
  <c r="J53" i="28"/>
  <c r="T41" i="28"/>
  <c r="T25" i="28" s="1"/>
  <c r="T47" i="28"/>
  <c r="T53" i="28"/>
  <c r="AD41" i="28"/>
  <c r="AD47" i="28"/>
  <c r="AD25" i="28"/>
  <c r="AD53" i="28"/>
  <c r="P11" i="28"/>
  <c r="P17" i="28" s="1"/>
  <c r="F52" i="28"/>
  <c r="L11" i="28" s="1"/>
  <c r="L17" i="28" s="1"/>
  <c r="L47" i="18"/>
  <c r="L25" i="18"/>
  <c r="L53" i="18"/>
  <c r="AC42" i="18"/>
  <c r="AC26" i="18" s="1"/>
  <c r="T47" i="18"/>
  <c r="AD53" i="18"/>
  <c r="W41" i="28"/>
  <c r="W25" i="28" s="1"/>
  <c r="Q11" i="28"/>
  <c r="AA11" i="28"/>
  <c r="R11" i="28"/>
  <c r="C96" i="21"/>
  <c r="R10" i="21"/>
  <c r="P12" i="21"/>
  <c r="P13" i="21" s="1"/>
  <c r="P14" i="21" s="1"/>
  <c r="P15" i="21" s="1"/>
  <c r="G15" i="21"/>
  <c r="H16" i="21" s="1"/>
  <c r="V14" i="21"/>
  <c r="V38" i="21"/>
  <c r="V15" i="21"/>
  <c r="P35" i="21"/>
  <c r="C35" i="21" s="1"/>
  <c r="V35" i="21"/>
  <c r="P25" i="21"/>
  <c r="P26" i="21" s="1"/>
  <c r="T10" i="21"/>
  <c r="P48" i="21"/>
  <c r="P49" i="21" s="1"/>
  <c r="V10" i="21"/>
  <c r="H11" i="21"/>
  <c r="I12" i="21" s="1"/>
  <c r="J13" i="21" s="1"/>
  <c r="K14" i="21" s="1"/>
  <c r="L15" i="21" s="1"/>
  <c r="M16" i="21" s="1"/>
  <c r="G12" i="21"/>
  <c r="H13" i="21" s="1"/>
  <c r="I14" i="21" s="1"/>
  <c r="J15" i="21" s="1"/>
  <c r="K16" i="21" s="1"/>
  <c r="V12" i="21"/>
  <c r="F13" i="21"/>
  <c r="G14" i="21" s="1"/>
  <c r="H15" i="21" s="1"/>
  <c r="I16" i="21" s="1"/>
  <c r="G16" i="21"/>
  <c r="C32" i="21"/>
  <c r="V32" i="21"/>
  <c r="V47" i="21"/>
  <c r="V13" i="21"/>
  <c r="C23" i="21"/>
  <c r="V25" i="21"/>
  <c r="V33" i="21"/>
  <c r="V36" i="21"/>
  <c r="V44" i="21"/>
  <c r="V55" i="21"/>
  <c r="C24" i="21"/>
  <c r="V26" i="21"/>
  <c r="V27" i="21"/>
  <c r="V37" i="21"/>
  <c r="R54" i="21"/>
  <c r="G96" i="21"/>
  <c r="T54" i="21"/>
  <c r="V68" i="21"/>
  <c r="V71" i="21"/>
  <c r="C11" i="21"/>
  <c r="F44" i="21"/>
  <c r="G45" i="21" s="1"/>
  <c r="H46" i="21" s="1"/>
  <c r="I47" i="21" s="1"/>
  <c r="J48" i="21" s="1"/>
  <c r="K49" i="21" s="1"/>
  <c r="V46" i="21"/>
  <c r="P47" i="21"/>
  <c r="G59" i="21"/>
  <c r="H60" i="21" s="1"/>
  <c r="G70" i="21"/>
  <c r="H71" i="21" s="1"/>
  <c r="V69" i="21"/>
  <c r="V16" i="21"/>
  <c r="F22" i="21"/>
  <c r="G23" i="21" s="1"/>
  <c r="H24" i="21" s="1"/>
  <c r="I25" i="21" s="1"/>
  <c r="J26" i="21" s="1"/>
  <c r="K27" i="21" s="1"/>
  <c r="C21" i="21"/>
  <c r="C43" i="21"/>
  <c r="V57" i="21"/>
  <c r="V58" i="21"/>
  <c r="V56" i="21"/>
  <c r="F60" i="21"/>
  <c r="H96" i="21"/>
  <c r="R65" i="21"/>
  <c r="H66" i="21"/>
  <c r="I67" i="21" s="1"/>
  <c r="J68" i="21" s="1"/>
  <c r="K69" i="21" s="1"/>
  <c r="L70" i="21" s="1"/>
  <c r="M71" i="21" s="1"/>
  <c r="V65" i="21"/>
  <c r="P68" i="21"/>
  <c r="P69" i="21" s="1"/>
  <c r="X33" i="23"/>
  <c r="X37" i="23"/>
  <c r="C66" i="21"/>
  <c r="V66" i="21"/>
  <c r="V70" i="21"/>
  <c r="C67" i="21"/>
  <c r="V67" i="21"/>
  <c r="U42" i="17" l="1"/>
  <c r="U26" i="17"/>
  <c r="U54" i="17"/>
  <c r="U48" i="17"/>
  <c r="Y75" i="15"/>
  <c r="Y55" i="15"/>
  <c r="Y35" i="15" s="1"/>
  <c r="Y65" i="15"/>
  <c r="AA42" i="14"/>
  <c r="AA26" i="14"/>
  <c r="AA54" i="14"/>
  <c r="AA48" i="14"/>
  <c r="AD42" i="28"/>
  <c r="AD26" i="28"/>
  <c r="AD54" i="28"/>
  <c r="AD48" i="28"/>
  <c r="P54" i="28"/>
  <c r="P48" i="28"/>
  <c r="P42" i="28"/>
  <c r="P26" i="28"/>
  <c r="R54" i="18"/>
  <c r="R42" i="18"/>
  <c r="R26" i="18" s="1"/>
  <c r="R48" i="18"/>
  <c r="O42" i="16"/>
  <c r="O26" i="16"/>
  <c r="O54" i="16"/>
  <c r="O48" i="16"/>
  <c r="L74" i="15"/>
  <c r="L64" i="15"/>
  <c r="L54" i="15"/>
  <c r="L34" i="15" s="1"/>
  <c r="U42" i="28"/>
  <c r="U26" i="28"/>
  <c r="U48" i="28"/>
  <c r="U54" i="28"/>
  <c r="V74" i="15"/>
  <c r="V64" i="15"/>
  <c r="V54" i="15"/>
  <c r="V34" i="15" s="1"/>
  <c r="AE42" i="18"/>
  <c r="AE26" i="18" s="1"/>
  <c r="K42" i="17"/>
  <c r="K54" i="17"/>
  <c r="K26" i="17"/>
  <c r="K48" i="17"/>
  <c r="R74" i="15"/>
  <c r="R64" i="15"/>
  <c r="R54" i="15"/>
  <c r="R34" i="15"/>
  <c r="P48" i="14"/>
  <c r="P42" i="14"/>
  <c r="P54" i="14"/>
  <c r="P26" i="14"/>
  <c r="Z48" i="14"/>
  <c r="Z54" i="14"/>
  <c r="Z42" i="14"/>
  <c r="Z26" i="14"/>
  <c r="K74" i="15"/>
  <c r="K64" i="15"/>
  <c r="K54" i="15"/>
  <c r="K34" i="15" s="1"/>
  <c r="AL12" i="25"/>
  <c r="X12" i="25" s="1"/>
  <c r="W12" i="25" s="1"/>
  <c r="V54" i="18"/>
  <c r="V48" i="18"/>
  <c r="V42" i="18"/>
  <c r="V26" i="18" s="1"/>
  <c r="Q54" i="16"/>
  <c r="Q48" i="16"/>
  <c r="Q26" i="16"/>
  <c r="Q42" i="16"/>
  <c r="L54" i="16"/>
  <c r="L48" i="16"/>
  <c r="L42" i="16"/>
  <c r="L26" i="16" s="1"/>
  <c r="V42" i="28"/>
  <c r="V26" i="28"/>
  <c r="V48" i="28"/>
  <c r="V54" i="28"/>
  <c r="Z48" i="18"/>
  <c r="Z54" i="18"/>
  <c r="Z26" i="18"/>
  <c r="Z42" i="18"/>
  <c r="T54" i="16"/>
  <c r="T48" i="16"/>
  <c r="T42" i="16"/>
  <c r="T26" i="16" s="1"/>
  <c r="Z48" i="16"/>
  <c r="Z54" i="16"/>
  <c r="Z26" i="16"/>
  <c r="Z42" i="16"/>
  <c r="AD48" i="16"/>
  <c r="AD26" i="16"/>
  <c r="AD54" i="16"/>
  <c r="AD42" i="16"/>
  <c r="Z64" i="15"/>
  <c r="Z74" i="15"/>
  <c r="Z54" i="15"/>
  <c r="Z34" i="15" s="1"/>
  <c r="L54" i="14"/>
  <c r="L42" i="14"/>
  <c r="L26" i="14" s="1"/>
  <c r="L48" i="14"/>
  <c r="AL9" i="25"/>
  <c r="X9" i="25"/>
  <c r="W9" i="25" s="1"/>
  <c r="AF18" i="17"/>
  <c r="R54" i="28"/>
  <c r="R48" i="28"/>
  <c r="R42" i="28"/>
  <c r="R26" i="28" s="1"/>
  <c r="AE48" i="17"/>
  <c r="AE42" i="17"/>
  <c r="AE26" i="17" s="1"/>
  <c r="AE54" i="17"/>
  <c r="W42" i="28"/>
  <c r="W26" i="28"/>
  <c r="W48" i="28"/>
  <c r="W54" i="28"/>
  <c r="R48" i="17"/>
  <c r="R42" i="17"/>
  <c r="R26" i="17" s="1"/>
  <c r="R54" i="17"/>
  <c r="N54" i="16"/>
  <c r="N42" i="16"/>
  <c r="N26" i="16" s="1"/>
  <c r="N48" i="16"/>
  <c r="AC74" i="15"/>
  <c r="AC54" i="15"/>
  <c r="AC34" i="15" s="1"/>
  <c r="AC64" i="15"/>
  <c r="Y74" i="15"/>
  <c r="Y54" i="15"/>
  <c r="Y34" i="15" s="1"/>
  <c r="Y64" i="15"/>
  <c r="W42" i="17"/>
  <c r="W26" i="17"/>
  <c r="W48" i="17"/>
  <c r="W54" i="17"/>
  <c r="AE42" i="16"/>
  <c r="AE26" i="16"/>
  <c r="Q42" i="14"/>
  <c r="Q26" i="14" s="1"/>
  <c r="Q54" i="14"/>
  <c r="Q48" i="14"/>
  <c r="W54" i="16"/>
  <c r="W48" i="16"/>
  <c r="W42" i="16"/>
  <c r="W26" i="16" s="1"/>
  <c r="AL20" i="25"/>
  <c r="X20" i="25" s="1"/>
  <c r="AK20" i="25"/>
  <c r="Q17" i="28"/>
  <c r="V11" i="28"/>
  <c r="C47" i="21"/>
  <c r="P36" i="21"/>
  <c r="Q48" i="28"/>
  <c r="Q42" i="28"/>
  <c r="Q26" i="28"/>
  <c r="Q54" i="28"/>
  <c r="K17" i="18"/>
  <c r="J11" i="18"/>
  <c r="J17" i="18" s="1"/>
  <c r="H12" i="18"/>
  <c r="O42" i="18"/>
  <c r="O26" i="18"/>
  <c r="O48" i="18"/>
  <c r="O54" i="18"/>
  <c r="Q54" i="18"/>
  <c r="Q42" i="18"/>
  <c r="Q26" i="18" s="1"/>
  <c r="Q48" i="18"/>
  <c r="U17" i="17"/>
  <c r="AH11" i="17"/>
  <c r="AH17" i="17" s="1"/>
  <c r="N42" i="17"/>
  <c r="N26" i="17" s="1"/>
  <c r="N48" i="17"/>
  <c r="N54" i="17"/>
  <c r="AD54" i="17"/>
  <c r="AD48" i="17"/>
  <c r="AD42" i="17"/>
  <c r="AD26" i="17" s="1"/>
  <c r="Z11" i="15"/>
  <c r="F11" i="15"/>
  <c r="F21" i="15" s="1"/>
  <c r="G21" i="15"/>
  <c r="U74" i="15"/>
  <c r="U64" i="15"/>
  <c r="U54" i="15"/>
  <c r="U34" i="15"/>
  <c r="N74" i="15"/>
  <c r="N64" i="15"/>
  <c r="N54" i="15"/>
  <c r="N34" i="15" s="1"/>
  <c r="J11" i="15"/>
  <c r="J21" i="15" s="1"/>
  <c r="U48" i="14"/>
  <c r="U54" i="14"/>
  <c r="U26" i="14"/>
  <c r="U42" i="14"/>
  <c r="X10" i="25"/>
  <c r="W10" i="25" s="1"/>
  <c r="Y23" i="24"/>
  <c r="S24" i="24"/>
  <c r="R23" i="24"/>
  <c r="R24" i="24" s="1"/>
  <c r="P56" i="21"/>
  <c r="U11" i="25"/>
  <c r="AL11" i="25" s="1"/>
  <c r="J37" i="3"/>
  <c r="K42" i="28"/>
  <c r="K26" i="28" s="1"/>
  <c r="K48" i="28"/>
  <c r="K54" i="28"/>
  <c r="P64" i="15"/>
  <c r="P74" i="15"/>
  <c r="P54" i="15"/>
  <c r="P34" i="15"/>
  <c r="T48" i="14"/>
  <c r="T54" i="14"/>
  <c r="T42" i="14"/>
  <c r="T26" i="14" s="1"/>
  <c r="AC54" i="28"/>
  <c r="AC48" i="28"/>
  <c r="AC42" i="28"/>
  <c r="AC26" i="28"/>
  <c r="R17" i="17"/>
  <c r="W11" i="17"/>
  <c r="W17" i="17" s="1"/>
  <c r="N11" i="17"/>
  <c r="N17" i="17" s="1"/>
  <c r="T48" i="17"/>
  <c r="T54" i="17"/>
  <c r="T26" i="17"/>
  <c r="T42" i="17"/>
  <c r="U42" i="16"/>
  <c r="U26" i="16" s="1"/>
  <c r="U54" i="16"/>
  <c r="U48" i="16"/>
  <c r="L42" i="17"/>
  <c r="L26" i="17"/>
  <c r="L54" i="17"/>
  <c r="L48" i="17"/>
  <c r="AC48" i="16"/>
  <c r="AC42" i="16"/>
  <c r="AC26" i="16" s="1"/>
  <c r="AC54" i="16"/>
  <c r="Q74" i="15"/>
  <c r="Q54" i="15"/>
  <c r="Q34" i="15" s="1"/>
  <c r="Q64" i="15"/>
  <c r="AF22" i="15"/>
  <c r="AL12" i="15"/>
  <c r="AL22" i="15" s="1"/>
  <c r="AD48" i="14"/>
  <c r="AD54" i="14"/>
  <c r="AD42" i="14"/>
  <c r="AD26" i="14" s="1"/>
  <c r="Y42" i="14"/>
  <c r="Y26" i="14"/>
  <c r="Y48" i="14"/>
  <c r="Y54" i="14"/>
  <c r="AA74" i="15"/>
  <c r="AA54" i="15"/>
  <c r="AA34" i="15"/>
  <c r="AA64" i="15"/>
  <c r="L47" i="14"/>
  <c r="AF12" i="14" s="1"/>
  <c r="L41" i="14"/>
  <c r="L25" i="14" s="1"/>
  <c r="L53" i="14"/>
  <c r="K48" i="14"/>
  <c r="K54" i="14"/>
  <c r="K26" i="14"/>
  <c r="K42" i="14"/>
  <c r="AL22" i="25"/>
  <c r="AK22" i="25"/>
  <c r="J39" i="3"/>
  <c r="J41" i="3"/>
  <c r="G17" i="18"/>
  <c r="Z11" i="18"/>
  <c r="F11" i="18"/>
  <c r="F17" i="18" s="1"/>
  <c r="S17" i="27"/>
  <c r="F17" i="27"/>
  <c r="I42" i="27" s="1"/>
  <c r="L54" i="18"/>
  <c r="L48" i="18"/>
  <c r="L42" i="18"/>
  <c r="L26" i="18" s="1"/>
  <c r="C25" i="21"/>
  <c r="V22" i="21"/>
  <c r="C48" i="21"/>
  <c r="T42" i="28"/>
  <c r="T26" i="28"/>
  <c r="T54" i="28"/>
  <c r="T48" i="28"/>
  <c r="W42" i="18"/>
  <c r="W26" i="18" s="1"/>
  <c r="W54" i="18"/>
  <c r="W48" i="18"/>
  <c r="N11" i="18"/>
  <c r="N17" i="18" s="1"/>
  <c r="U11" i="18"/>
  <c r="O17" i="18"/>
  <c r="V42" i="17"/>
  <c r="V26" i="17"/>
  <c r="V48" i="17"/>
  <c r="V54" i="17"/>
  <c r="Q17" i="17"/>
  <c r="V11" i="17"/>
  <c r="T11" i="17" s="1"/>
  <c r="T17" i="17" s="1"/>
  <c r="H12" i="17"/>
  <c r="T11" i="15"/>
  <c r="T21" i="15" s="1"/>
  <c r="AH11" i="15"/>
  <c r="AH21" i="15" s="1"/>
  <c r="U21" i="15"/>
  <c r="N11" i="14"/>
  <c r="N17" i="14" s="1"/>
  <c r="O17" i="14"/>
  <c r="U11" i="14"/>
  <c r="E16" i="27"/>
  <c r="H41" i="27" s="1"/>
  <c r="S16" i="27"/>
  <c r="S22" i="27"/>
  <c r="E22" i="27"/>
  <c r="H47" i="27" s="1"/>
  <c r="S26" i="27"/>
  <c r="U17" i="25"/>
  <c r="AL17" i="25" s="1"/>
  <c r="X17" i="25"/>
  <c r="V34" i="21"/>
  <c r="J38" i="3"/>
  <c r="P39" i="3"/>
  <c r="H39" i="3"/>
  <c r="P37" i="3"/>
  <c r="I21" i="27"/>
  <c r="M21" i="27" s="1"/>
  <c r="M46" i="27"/>
  <c r="F23" i="24"/>
  <c r="F29" i="24"/>
  <c r="N42" i="18"/>
  <c r="N26" i="18"/>
  <c r="N48" i="18"/>
  <c r="N54" i="18"/>
  <c r="O48" i="28"/>
  <c r="O54" i="28"/>
  <c r="O42" i="28"/>
  <c r="O26" i="28" s="1"/>
  <c r="K17" i="17"/>
  <c r="J11" i="17"/>
  <c r="J17" i="17" s="1"/>
  <c r="O48" i="17"/>
  <c r="O54" i="17"/>
  <c r="O42" i="17"/>
  <c r="O26" i="17" s="1"/>
  <c r="O53" i="18"/>
  <c r="O41" i="18"/>
  <c r="O25" i="18"/>
  <c r="O47" i="18"/>
  <c r="AF12" i="18" s="1"/>
  <c r="N42" i="28"/>
  <c r="N26" i="28"/>
  <c r="N48" i="28"/>
  <c r="N54" i="28"/>
  <c r="N11" i="16"/>
  <c r="N17" i="16" s="1"/>
  <c r="O17" i="16"/>
  <c r="U11" i="16"/>
  <c r="AF12" i="16"/>
  <c r="AC10" i="15"/>
  <c r="AC20" i="15" s="1"/>
  <c r="AE20" i="15"/>
  <c r="AD54" i="15"/>
  <c r="AD34" i="15" s="1"/>
  <c r="AD74" i="15"/>
  <c r="AD64" i="15"/>
  <c r="AE74" i="15"/>
  <c r="AE64" i="15"/>
  <c r="AE54" i="15"/>
  <c r="AE34" i="15"/>
  <c r="V21" i="15"/>
  <c r="AG11" i="15"/>
  <c r="AC48" i="14"/>
  <c r="AC54" i="14"/>
  <c r="AC42" i="14"/>
  <c r="AC26" i="14"/>
  <c r="O74" i="15"/>
  <c r="O54" i="15"/>
  <c r="O34" i="15" s="1"/>
  <c r="O64" i="15"/>
  <c r="R19" i="25"/>
  <c r="U19" i="25"/>
  <c r="M47" i="27"/>
  <c r="I22" i="27"/>
  <c r="Y11" i="14"/>
  <c r="Z17" i="14"/>
  <c r="L46" i="27"/>
  <c r="R11" i="25"/>
  <c r="H37" i="3"/>
  <c r="V48" i="21"/>
  <c r="R17" i="28"/>
  <c r="W11" i="28"/>
  <c r="W17" i="28" s="1"/>
  <c r="C49" i="21"/>
  <c r="C13" i="21"/>
  <c r="V23" i="21"/>
  <c r="AA17" i="28"/>
  <c r="AG24" i="28"/>
  <c r="K17" i="28"/>
  <c r="J11" i="28"/>
  <c r="J17" i="28" s="1"/>
  <c r="J11" i="16"/>
  <c r="J17" i="16" s="1"/>
  <c r="K17" i="16"/>
  <c r="G17" i="17"/>
  <c r="Z11" i="17"/>
  <c r="F11" i="17"/>
  <c r="F17" i="17" s="1"/>
  <c r="P48" i="16"/>
  <c r="P54" i="16"/>
  <c r="P42" i="16"/>
  <c r="P26" i="16" s="1"/>
  <c r="Z54" i="17"/>
  <c r="Z42" i="17"/>
  <c r="Z26" i="17"/>
  <c r="Z48" i="17"/>
  <c r="H18" i="16"/>
  <c r="R12" i="16"/>
  <c r="AA12" i="16"/>
  <c r="O42" i="14"/>
  <c r="O26" i="14"/>
  <c r="O54" i="14"/>
  <c r="O48" i="14"/>
  <c r="I15" i="27"/>
  <c r="M15" i="27" s="1"/>
  <c r="M40" i="27"/>
  <c r="M45" i="27"/>
  <c r="I20" i="27"/>
  <c r="M20" i="27" s="1"/>
  <c r="K39" i="3"/>
  <c r="L43" i="27"/>
  <c r="P41" i="3"/>
  <c r="X8" i="25"/>
  <c r="W8" i="25" s="1"/>
  <c r="K35" i="3"/>
  <c r="J35" i="3"/>
  <c r="AE42" i="28"/>
  <c r="AE26" i="28"/>
  <c r="AE48" i="28"/>
  <c r="AE54" i="28"/>
  <c r="W54" i="14"/>
  <c r="W48" i="14"/>
  <c r="W26" i="14"/>
  <c r="W42" i="14"/>
  <c r="G17" i="28"/>
  <c r="Z11" i="28"/>
  <c r="F11" i="28"/>
  <c r="F17" i="28" s="1"/>
  <c r="Y42" i="18"/>
  <c r="Y26" i="18" s="1"/>
  <c r="Y48" i="18"/>
  <c r="Y54" i="18"/>
  <c r="AA54" i="17"/>
  <c r="AA48" i="17"/>
  <c r="AA42" i="17"/>
  <c r="AA26" i="17" s="1"/>
  <c r="Y42" i="16"/>
  <c r="Y26" i="16" s="1"/>
  <c r="Y54" i="16"/>
  <c r="Y48" i="16"/>
  <c r="AF12" i="28"/>
  <c r="Y48" i="17"/>
  <c r="Y54" i="17"/>
  <c r="Y42" i="17"/>
  <c r="Y26" i="17"/>
  <c r="Q54" i="17"/>
  <c r="Q26" i="17"/>
  <c r="Q48" i="17"/>
  <c r="Q42" i="17"/>
  <c r="R48" i="16"/>
  <c r="R54" i="16"/>
  <c r="R42" i="16"/>
  <c r="R26" i="16"/>
  <c r="Z17" i="16"/>
  <c r="Y11" i="16"/>
  <c r="AG24" i="14"/>
  <c r="AA17" i="14"/>
  <c r="W11" i="14"/>
  <c r="W17" i="14" s="1"/>
  <c r="R17" i="14"/>
  <c r="E24" i="27"/>
  <c r="H49" i="27" s="1"/>
  <c r="S24" i="27"/>
  <c r="W16" i="25"/>
  <c r="Z16" i="25" s="1"/>
  <c r="AA16" i="25"/>
  <c r="J11" i="14"/>
  <c r="J17" i="14" s="1"/>
  <c r="K17" i="14"/>
  <c r="U23" i="25"/>
  <c r="AG11" i="14"/>
  <c r="V17" i="14"/>
  <c r="U21" i="25"/>
  <c r="R24" i="25"/>
  <c r="U24" i="25" s="1"/>
  <c r="R23" i="25"/>
  <c r="X22" i="25"/>
  <c r="C33" i="21"/>
  <c r="E97" i="21" s="1"/>
  <c r="Y48" i="28"/>
  <c r="Y54" i="28"/>
  <c r="Y42" i="28"/>
  <c r="Y26" i="28"/>
  <c r="U11" i="28"/>
  <c r="O17" i="28"/>
  <c r="N11" i="28"/>
  <c r="N17" i="28" s="1"/>
  <c r="L42" i="28"/>
  <c r="L26" i="28" s="1"/>
  <c r="L48" i="28"/>
  <c r="AF13" i="28" s="1"/>
  <c r="L54" i="28"/>
  <c r="T42" i="18"/>
  <c r="T26" i="18"/>
  <c r="T54" i="18"/>
  <c r="T48" i="18"/>
  <c r="V11" i="18"/>
  <c r="Q17" i="18"/>
  <c r="V26" i="16"/>
  <c r="V42" i="16"/>
  <c r="V54" i="16"/>
  <c r="V48" i="16"/>
  <c r="AA48" i="18"/>
  <c r="AA54" i="18"/>
  <c r="AA26" i="18"/>
  <c r="AA42" i="18"/>
  <c r="K54" i="16"/>
  <c r="K48" i="16"/>
  <c r="K42" i="16"/>
  <c r="K26" i="16" s="1"/>
  <c r="T54" i="15"/>
  <c r="T64" i="15"/>
  <c r="T34" i="15"/>
  <c r="T74" i="15"/>
  <c r="W12" i="15"/>
  <c r="W22" i="15" s="1"/>
  <c r="R22" i="15"/>
  <c r="AL18" i="25"/>
  <c r="X18" i="25"/>
  <c r="AE48" i="14"/>
  <c r="AE54" i="14"/>
  <c r="AE26" i="14"/>
  <c r="AE42" i="14"/>
  <c r="AG33" i="15"/>
  <c r="H35" i="3"/>
  <c r="R13" i="25"/>
  <c r="U13" i="25" s="1"/>
  <c r="R15" i="25"/>
  <c r="U15" i="25" s="1"/>
  <c r="F102" i="21"/>
  <c r="R49" i="21"/>
  <c r="T49" i="21"/>
  <c r="P16" i="21"/>
  <c r="C15" i="21"/>
  <c r="C69" i="21"/>
  <c r="P70" i="21"/>
  <c r="C16" i="21"/>
  <c r="P27" i="21"/>
  <c r="C27" i="21" s="1"/>
  <c r="C26" i="21"/>
  <c r="E99" i="21"/>
  <c r="R35" i="21"/>
  <c r="T35" i="21"/>
  <c r="C68" i="21"/>
  <c r="H98" i="21"/>
  <c r="T67" i="21"/>
  <c r="R67" i="21"/>
  <c r="V60" i="21"/>
  <c r="D96" i="21"/>
  <c r="T21" i="21"/>
  <c r="R21" i="21"/>
  <c r="D99" i="21"/>
  <c r="R24" i="21"/>
  <c r="T24" i="21"/>
  <c r="C45" i="21"/>
  <c r="D98" i="21"/>
  <c r="R23" i="21"/>
  <c r="V59" i="21"/>
  <c r="F96" i="21"/>
  <c r="T43" i="21"/>
  <c r="R43" i="21"/>
  <c r="T23" i="21"/>
  <c r="C44" i="21"/>
  <c r="T33" i="21"/>
  <c r="R33" i="21"/>
  <c r="C22" i="21"/>
  <c r="C12" i="21"/>
  <c r="C46" i="21"/>
  <c r="C14" i="21"/>
  <c r="R47" i="21"/>
  <c r="F100" i="21"/>
  <c r="T47" i="21"/>
  <c r="F101" i="21"/>
  <c r="T48" i="21"/>
  <c r="R48" i="21"/>
  <c r="R66" i="21"/>
  <c r="H97" i="21"/>
  <c r="T66" i="21"/>
  <c r="D100" i="21"/>
  <c r="R25" i="21"/>
  <c r="T25" i="21"/>
  <c r="C97" i="21"/>
  <c r="T11" i="21"/>
  <c r="R11" i="21"/>
  <c r="G97" i="21"/>
  <c r="T55" i="21"/>
  <c r="R55" i="21"/>
  <c r="E96" i="21"/>
  <c r="T32" i="21"/>
  <c r="R32" i="21"/>
  <c r="V45" i="21"/>
  <c r="E98" i="21"/>
  <c r="R34" i="21"/>
  <c r="C99" i="21"/>
  <c r="R13" i="21"/>
  <c r="T13" i="21"/>
  <c r="P75" i="15" l="1"/>
  <c r="P65" i="15"/>
  <c r="P55" i="15"/>
  <c r="P35" i="15"/>
  <c r="AF18" i="18"/>
  <c r="O75" i="15"/>
  <c r="O65" i="15"/>
  <c r="O55" i="15"/>
  <c r="O35" i="15" s="1"/>
  <c r="AL13" i="25"/>
  <c r="X13" i="25"/>
  <c r="W13" i="25" s="1"/>
  <c r="L75" i="15"/>
  <c r="L35" i="15"/>
  <c r="L65" i="15"/>
  <c r="L55" i="15"/>
  <c r="Z76" i="15"/>
  <c r="Z56" i="15"/>
  <c r="Z36" i="15" s="1"/>
  <c r="Z66" i="15"/>
  <c r="N42" i="14"/>
  <c r="N54" i="14"/>
  <c r="N48" i="14"/>
  <c r="AF13" i="14" s="1"/>
  <c r="N26" i="14"/>
  <c r="R75" i="15"/>
  <c r="R65" i="15"/>
  <c r="R55" i="15"/>
  <c r="R35" i="15" s="1"/>
  <c r="Z75" i="15"/>
  <c r="Z65" i="15"/>
  <c r="Z55" i="15"/>
  <c r="Z35" i="15" s="1"/>
  <c r="W65" i="15"/>
  <c r="W55" i="15"/>
  <c r="W35" i="15" s="1"/>
  <c r="W75" i="15"/>
  <c r="AL15" i="25"/>
  <c r="X15" i="25"/>
  <c r="N55" i="15"/>
  <c r="N35" i="15" s="1"/>
  <c r="N75" i="15"/>
  <c r="N65" i="15"/>
  <c r="AL24" i="25"/>
  <c r="AK24" i="25"/>
  <c r="X24" i="25"/>
  <c r="AE75" i="15"/>
  <c r="AE55" i="15"/>
  <c r="AE35" i="15" s="1"/>
  <c r="AE65" i="15"/>
  <c r="W20" i="25"/>
  <c r="Z20" i="25" s="1"/>
  <c r="AA20" i="25"/>
  <c r="AD65" i="15"/>
  <c r="AD75" i="15"/>
  <c r="AD55" i="15"/>
  <c r="AD35" i="15" s="1"/>
  <c r="AA75" i="15"/>
  <c r="AA65" i="15"/>
  <c r="AA55" i="15"/>
  <c r="AA35" i="15" s="1"/>
  <c r="AF18" i="28"/>
  <c r="M26" i="27"/>
  <c r="L51" i="27"/>
  <c r="Z17" i="18"/>
  <c r="Y11" i="18"/>
  <c r="Z21" i="15"/>
  <c r="Y11" i="15"/>
  <c r="H12" i="28"/>
  <c r="AL21" i="25"/>
  <c r="X21" i="25" s="1"/>
  <c r="AK21" i="25"/>
  <c r="Y17" i="16"/>
  <c r="G24" i="16"/>
  <c r="Y11" i="17"/>
  <c r="Z17" i="17"/>
  <c r="AL19" i="25"/>
  <c r="AK19" i="25"/>
  <c r="U17" i="16"/>
  <c r="AH11" i="16"/>
  <c r="AH17" i="16" s="1"/>
  <c r="T11" i="16"/>
  <c r="T17" i="16" s="1"/>
  <c r="P48" i="18"/>
  <c r="P54" i="18"/>
  <c r="P42" i="18"/>
  <c r="P26" i="18"/>
  <c r="M22" i="27"/>
  <c r="L47" i="27"/>
  <c r="X11" i="25"/>
  <c r="W11" i="25" s="1"/>
  <c r="V75" i="15"/>
  <c r="V55" i="15"/>
  <c r="V65" i="15"/>
  <c r="V35" i="15"/>
  <c r="AF13" i="15"/>
  <c r="AF18" i="16"/>
  <c r="AC75" i="15"/>
  <c r="AC35" i="15"/>
  <c r="AC55" i="15"/>
  <c r="AC65" i="15"/>
  <c r="X19" i="25"/>
  <c r="F30" i="24"/>
  <c r="E29" i="24"/>
  <c r="E30" i="24" s="1"/>
  <c r="M16" i="27"/>
  <c r="L41" i="27"/>
  <c r="AF13" i="18"/>
  <c r="C56" i="21"/>
  <c r="P57" i="21"/>
  <c r="H12" i="14"/>
  <c r="H13" i="15"/>
  <c r="AF19" i="28"/>
  <c r="M24" i="27"/>
  <c r="L49" i="27"/>
  <c r="E23" i="24"/>
  <c r="E24" i="24" s="1"/>
  <c r="F24" i="24"/>
  <c r="H18" i="17"/>
  <c r="R12" i="17"/>
  <c r="AA12" i="17"/>
  <c r="U17" i="18"/>
  <c r="AH11" i="18"/>
  <c r="AH17" i="18" s="1"/>
  <c r="T11" i="18"/>
  <c r="T17" i="18" s="1"/>
  <c r="AA12" i="18"/>
  <c r="H18" i="18"/>
  <c r="R12" i="18"/>
  <c r="P37" i="21"/>
  <c r="C36" i="21"/>
  <c r="AA18" i="25"/>
  <c r="W18" i="25"/>
  <c r="Z18" i="25" s="1"/>
  <c r="AG17" i="14"/>
  <c r="AE11" i="14"/>
  <c r="AE17" i="14" s="1"/>
  <c r="AG21" i="15"/>
  <c r="AE11" i="15"/>
  <c r="AE21" i="15" s="1"/>
  <c r="AH11" i="14"/>
  <c r="AH17" i="14" s="1"/>
  <c r="T11" i="14"/>
  <c r="T17" i="14" s="1"/>
  <c r="U17" i="14"/>
  <c r="V17" i="17"/>
  <c r="AG11" i="17"/>
  <c r="AF13" i="16"/>
  <c r="U65" i="15"/>
  <c r="U55" i="15"/>
  <c r="U35" i="15" s="1"/>
  <c r="U75" i="15"/>
  <c r="V17" i="18"/>
  <c r="AG11" i="18"/>
  <c r="AL23" i="25"/>
  <c r="AK23" i="25"/>
  <c r="Z17" i="28"/>
  <c r="Y11" i="28"/>
  <c r="AA18" i="16"/>
  <c r="AG25" i="16"/>
  <c r="W17" i="25"/>
  <c r="Z17" i="25" s="1"/>
  <c r="AA17" i="25"/>
  <c r="M17" i="27"/>
  <c r="L42" i="27"/>
  <c r="Q75" i="15"/>
  <c r="Q65" i="15"/>
  <c r="Q55" i="15"/>
  <c r="Q35" i="15" s="1"/>
  <c r="Y24" i="24"/>
  <c r="X23" i="24"/>
  <c r="X24" i="24" s="1"/>
  <c r="AG11" i="28"/>
  <c r="V17" i="28"/>
  <c r="T65" i="15"/>
  <c r="T35" i="15"/>
  <c r="T55" i="15"/>
  <c r="T75" i="15"/>
  <c r="AH11" i="28"/>
  <c r="AH17" i="28" s="1"/>
  <c r="T11" i="28"/>
  <c r="T17" i="28" s="1"/>
  <c r="U17" i="28"/>
  <c r="W22" i="25"/>
  <c r="Z22" i="25" s="1"/>
  <c r="AA22" i="25"/>
  <c r="X23" i="25"/>
  <c r="W12" i="16"/>
  <c r="W18" i="16" s="1"/>
  <c r="R18" i="16"/>
  <c r="G24" i="14"/>
  <c r="Y17" i="14"/>
  <c r="AF18" i="14"/>
  <c r="AF13" i="17"/>
  <c r="D102" i="21"/>
  <c r="R27" i="21"/>
  <c r="T27" i="21"/>
  <c r="C98" i="21"/>
  <c r="R12" i="21"/>
  <c r="T12" i="21"/>
  <c r="D101" i="21"/>
  <c r="R26" i="21"/>
  <c r="T26" i="21"/>
  <c r="D97" i="21"/>
  <c r="R22" i="21"/>
  <c r="T22" i="21"/>
  <c r="F97" i="21"/>
  <c r="R44" i="21"/>
  <c r="T44" i="21"/>
  <c r="F98" i="21"/>
  <c r="R45" i="21"/>
  <c r="T45" i="21"/>
  <c r="C102" i="21"/>
  <c r="R16" i="21"/>
  <c r="T16" i="21"/>
  <c r="C100" i="21"/>
  <c r="R14" i="21"/>
  <c r="T14" i="21"/>
  <c r="R68" i="21"/>
  <c r="H99" i="21"/>
  <c r="T68" i="21"/>
  <c r="P71" i="21"/>
  <c r="C71" i="21" s="1"/>
  <c r="C70" i="21"/>
  <c r="H100" i="21"/>
  <c r="R69" i="21"/>
  <c r="T69" i="21"/>
  <c r="C101" i="21"/>
  <c r="T15" i="21"/>
  <c r="R15" i="21"/>
  <c r="F99" i="21"/>
  <c r="R46" i="21"/>
  <c r="T46" i="21"/>
  <c r="AC76" i="15" l="1"/>
  <c r="AC56" i="15"/>
  <c r="AC66" i="15"/>
  <c r="AC36" i="15"/>
  <c r="P76" i="15"/>
  <c r="P56" i="15"/>
  <c r="P36" i="15" s="1"/>
  <c r="P66" i="15"/>
  <c r="T76" i="15"/>
  <c r="T66" i="15"/>
  <c r="T56" i="15"/>
  <c r="T36" i="15"/>
  <c r="AA67" i="15"/>
  <c r="AA77" i="15"/>
  <c r="AA57" i="15"/>
  <c r="AA37" i="15"/>
  <c r="AE76" i="15"/>
  <c r="AE66" i="15"/>
  <c r="AE56" i="15"/>
  <c r="AE36" i="15" s="1"/>
  <c r="AF19" i="14"/>
  <c r="V56" i="15"/>
  <c r="V36" i="15" s="1"/>
  <c r="V76" i="15"/>
  <c r="V66" i="15"/>
  <c r="Y66" i="15"/>
  <c r="Y56" i="15"/>
  <c r="Y76" i="15"/>
  <c r="Y36" i="15"/>
  <c r="AA56" i="15"/>
  <c r="AA36" i="15" s="1"/>
  <c r="AA76" i="15"/>
  <c r="AA66" i="15"/>
  <c r="O76" i="15"/>
  <c r="O56" i="15"/>
  <c r="O66" i="15"/>
  <c r="O36" i="15"/>
  <c r="R76" i="15"/>
  <c r="R66" i="15"/>
  <c r="R36" i="15"/>
  <c r="R56" i="15"/>
  <c r="AA21" i="25"/>
  <c r="W21" i="25"/>
  <c r="Z21" i="25" s="1"/>
  <c r="P38" i="21"/>
  <c r="C38" i="21" s="1"/>
  <c r="C37" i="21"/>
  <c r="H53" i="14"/>
  <c r="Q12" i="14" s="1"/>
  <c r="H47" i="14"/>
  <c r="P12" i="14" s="1"/>
  <c r="P18" i="14" s="1"/>
  <c r="F24" i="14"/>
  <c r="H41" i="14"/>
  <c r="O12" i="14" s="1"/>
  <c r="AD11" i="14"/>
  <c r="G24" i="17"/>
  <c r="Y17" i="17"/>
  <c r="R36" i="21"/>
  <c r="T36" i="21"/>
  <c r="E100" i="21"/>
  <c r="AA18" i="17"/>
  <c r="AG25" i="17"/>
  <c r="AD76" i="15"/>
  <c r="AD66" i="15"/>
  <c r="AD56" i="15"/>
  <c r="AD36" i="15"/>
  <c r="AA15" i="25"/>
  <c r="W15" i="25"/>
  <c r="Z15" i="25" s="1"/>
  <c r="N66" i="15"/>
  <c r="N76" i="15"/>
  <c r="N56" i="15"/>
  <c r="N36" i="15"/>
  <c r="G24" i="28"/>
  <c r="Y17" i="28"/>
  <c r="R13" i="15"/>
  <c r="AA13" i="15"/>
  <c r="H23" i="15"/>
  <c r="R18" i="18"/>
  <c r="W12" i="18"/>
  <c r="W18" i="18" s="1"/>
  <c r="W24" i="25"/>
  <c r="Z24" i="25" s="1"/>
  <c r="AA24" i="25"/>
  <c r="U66" i="15"/>
  <c r="U36" i="15"/>
  <c r="U56" i="15"/>
  <c r="U76" i="15"/>
  <c r="R18" i="17"/>
  <c r="W12" i="17"/>
  <c r="W18" i="17" s="1"/>
  <c r="AF19" i="17"/>
  <c r="AF19" i="16"/>
  <c r="AA18" i="18"/>
  <c r="AG25" i="18"/>
  <c r="R12" i="14"/>
  <c r="H18" i="14"/>
  <c r="AA12" i="14"/>
  <c r="W19" i="25"/>
  <c r="Z19" i="25" s="1"/>
  <c r="AA19" i="25"/>
  <c r="AF23" i="15"/>
  <c r="AL13" i="15"/>
  <c r="AL23" i="15" s="1"/>
  <c r="H18" i="28"/>
  <c r="R12" i="28"/>
  <c r="AA12" i="28"/>
  <c r="Q56" i="15"/>
  <c r="Q76" i="15"/>
  <c r="Q66" i="15"/>
  <c r="Q36" i="15"/>
  <c r="W23" i="25"/>
  <c r="Z23" i="25" s="1"/>
  <c r="AA23" i="25"/>
  <c r="AG17" i="28"/>
  <c r="AE11" i="28"/>
  <c r="AE17" i="28" s="1"/>
  <c r="AG17" i="18"/>
  <c r="AE11" i="18"/>
  <c r="AE17" i="18" s="1"/>
  <c r="AG17" i="17"/>
  <c r="AE11" i="17"/>
  <c r="AE17" i="17" s="1"/>
  <c r="P58" i="21"/>
  <c r="C57" i="21"/>
  <c r="W66" i="15"/>
  <c r="W56" i="15"/>
  <c r="W36" i="15" s="1"/>
  <c r="W76" i="15"/>
  <c r="G32" i="15"/>
  <c r="Y21" i="15"/>
  <c r="R56" i="21"/>
  <c r="G98" i="21"/>
  <c r="T56" i="21"/>
  <c r="AF14" i="15"/>
  <c r="H13" i="16"/>
  <c r="AF19" i="18"/>
  <c r="H47" i="16"/>
  <c r="P12" i="16" s="1"/>
  <c r="P18" i="16" s="1"/>
  <c r="H53" i="16"/>
  <c r="Q12" i="16" s="1"/>
  <c r="H41" i="16"/>
  <c r="O12" i="16" s="1"/>
  <c r="H25" i="16"/>
  <c r="AD11" i="16"/>
  <c r="F24" i="16"/>
  <c r="Y17" i="18"/>
  <c r="G24" i="18"/>
  <c r="R70" i="21"/>
  <c r="H101" i="21"/>
  <c r="T70" i="21"/>
  <c r="H102" i="21"/>
  <c r="T71" i="21"/>
  <c r="R71" i="21"/>
  <c r="Q67" i="15" l="1"/>
  <c r="Q77" i="15"/>
  <c r="Q57" i="15"/>
  <c r="Q37" i="15"/>
  <c r="W77" i="15"/>
  <c r="W67" i="15"/>
  <c r="W37" i="15"/>
  <c r="W57" i="15"/>
  <c r="Y67" i="15"/>
  <c r="Y37" i="15"/>
  <c r="Y77" i="15"/>
  <c r="Y57" i="15"/>
  <c r="AC77" i="15"/>
  <c r="AC57" i="15"/>
  <c r="AC37" i="15" s="1"/>
  <c r="AC67" i="15"/>
  <c r="AC78" i="15"/>
  <c r="AC68" i="15"/>
  <c r="AC58" i="15"/>
  <c r="AC38" i="15"/>
  <c r="G53" i="16"/>
  <c r="F53" i="16" s="1"/>
  <c r="L12" i="16" s="1"/>
  <c r="L18" i="16" s="1"/>
  <c r="G41" i="16"/>
  <c r="F41" i="16" s="1"/>
  <c r="G12" i="16" s="1"/>
  <c r="G47" i="16"/>
  <c r="F47" i="16" s="1"/>
  <c r="K12" i="16" s="1"/>
  <c r="AE57" i="15"/>
  <c r="AE37" i="15" s="1"/>
  <c r="AE77" i="15"/>
  <c r="AE67" i="15"/>
  <c r="Q18" i="14"/>
  <c r="V12" i="14"/>
  <c r="H73" i="15"/>
  <c r="Q12" i="15" s="1"/>
  <c r="H63" i="15"/>
  <c r="P12" i="15" s="1"/>
  <c r="P22" i="15" s="1"/>
  <c r="H53" i="15"/>
  <c r="O12" i="15" s="1"/>
  <c r="AD11" i="15"/>
  <c r="F32" i="15"/>
  <c r="AC11" i="16"/>
  <c r="AC17" i="16" s="1"/>
  <c r="AD17" i="16"/>
  <c r="R13" i="16"/>
  <c r="H19" i="16"/>
  <c r="AA13" i="16"/>
  <c r="H41" i="28"/>
  <c r="O12" i="28" s="1"/>
  <c r="H47" i="28"/>
  <c r="P12" i="28" s="1"/>
  <c r="P18" i="28" s="1"/>
  <c r="H25" i="28"/>
  <c r="F24" i="28"/>
  <c r="H53" i="28"/>
  <c r="Q12" i="28" s="1"/>
  <c r="AD11" i="28"/>
  <c r="T37" i="21"/>
  <c r="E101" i="21"/>
  <c r="R37" i="21"/>
  <c r="P77" i="15"/>
  <c r="P57" i="15"/>
  <c r="P67" i="15"/>
  <c r="P37" i="15"/>
  <c r="Z77" i="15"/>
  <c r="Z57" i="15"/>
  <c r="Z37" i="15" s="1"/>
  <c r="Z67" i="15"/>
  <c r="AL14" i="15"/>
  <c r="AL24" i="15" s="1"/>
  <c r="AF24" i="15"/>
  <c r="AA18" i="28"/>
  <c r="AG25" i="28"/>
  <c r="AA18" i="14"/>
  <c r="AG25" i="14"/>
  <c r="O37" i="15"/>
  <c r="O77" i="15"/>
  <c r="O67" i="15"/>
  <c r="O57" i="15"/>
  <c r="H41" i="17"/>
  <c r="O12" i="17" s="1"/>
  <c r="H47" i="17"/>
  <c r="P12" i="17" s="1"/>
  <c r="P18" i="17" s="1"/>
  <c r="F24" i="17"/>
  <c r="AD11" i="17"/>
  <c r="H53" i="17"/>
  <c r="Q12" i="17" s="1"/>
  <c r="H25" i="17"/>
  <c r="E102" i="21"/>
  <c r="R38" i="21"/>
  <c r="T38" i="21"/>
  <c r="AD17" i="14"/>
  <c r="AC11" i="14"/>
  <c r="AC17" i="14" s="1"/>
  <c r="U57" i="15"/>
  <c r="U67" i="15"/>
  <c r="U37" i="15"/>
  <c r="U77" i="15"/>
  <c r="AD77" i="15"/>
  <c r="AD57" i="15"/>
  <c r="AD37" i="15" s="1"/>
  <c r="AD67" i="15"/>
  <c r="R23" i="15"/>
  <c r="W13" i="15"/>
  <c r="W23" i="15" s="1"/>
  <c r="N12" i="16"/>
  <c r="N18" i="16" s="1"/>
  <c r="O18" i="16"/>
  <c r="U12" i="16"/>
  <c r="R18" i="28"/>
  <c r="W12" i="28"/>
  <c r="W18" i="28" s="1"/>
  <c r="Q18" i="16"/>
  <c r="V12" i="16"/>
  <c r="R57" i="21"/>
  <c r="T57" i="21"/>
  <c r="G99" i="21"/>
  <c r="W12" i="14"/>
  <c r="W18" i="14" s="1"/>
  <c r="R18" i="14"/>
  <c r="H13" i="17"/>
  <c r="H25" i="14"/>
  <c r="C58" i="21"/>
  <c r="P59" i="21"/>
  <c r="H13" i="18"/>
  <c r="N12" i="14"/>
  <c r="N18" i="14" s="1"/>
  <c r="O18" i="14"/>
  <c r="U12" i="14"/>
  <c r="V77" i="15"/>
  <c r="V57" i="15"/>
  <c r="V37" i="15"/>
  <c r="V67" i="15"/>
  <c r="J42" i="16"/>
  <c r="J26" i="16"/>
  <c r="J54" i="16"/>
  <c r="J48" i="16"/>
  <c r="H25" i="18"/>
  <c r="H47" i="18"/>
  <c r="P12" i="18" s="1"/>
  <c r="P18" i="18" s="1"/>
  <c r="AD11" i="18"/>
  <c r="H53" i="18"/>
  <c r="Q12" i="18" s="1"/>
  <c r="F24" i="18"/>
  <c r="H41" i="18"/>
  <c r="O12" i="18" s="1"/>
  <c r="R77" i="15"/>
  <c r="R57" i="15"/>
  <c r="R37" i="15" s="1"/>
  <c r="R67" i="15"/>
  <c r="AA23" i="15"/>
  <c r="AG34" i="15"/>
  <c r="G47" i="14"/>
  <c r="F47" i="14" s="1"/>
  <c r="K12" i="14" s="1"/>
  <c r="G53" i="14"/>
  <c r="F53" i="14" s="1"/>
  <c r="L12" i="14" s="1"/>
  <c r="L18" i="14" s="1"/>
  <c r="G41" i="14"/>
  <c r="F41" i="14" s="1"/>
  <c r="G12" i="14" s="1"/>
  <c r="T77" i="15"/>
  <c r="T67" i="15"/>
  <c r="T57" i="15"/>
  <c r="T37" i="15" s="1"/>
  <c r="AE68" i="15" l="1"/>
  <c r="AE78" i="15"/>
  <c r="AE58" i="15"/>
  <c r="AE38" i="15"/>
  <c r="AD38" i="15"/>
  <c r="AD78" i="15"/>
  <c r="AD58" i="15"/>
  <c r="AD68" i="15"/>
  <c r="T78" i="15"/>
  <c r="T68" i="15"/>
  <c r="T58" i="15"/>
  <c r="T38" i="15" s="1"/>
  <c r="U68" i="15"/>
  <c r="U58" i="15"/>
  <c r="U78" i="15"/>
  <c r="U38" i="15"/>
  <c r="AA78" i="15"/>
  <c r="AA68" i="15"/>
  <c r="AA58" i="15"/>
  <c r="AA38" i="15" s="1"/>
  <c r="H19" i="17"/>
  <c r="R13" i="17"/>
  <c r="AA13" i="17"/>
  <c r="AD17" i="18"/>
  <c r="AC11" i="18"/>
  <c r="AC17" i="18" s="1"/>
  <c r="W78" i="15"/>
  <c r="W68" i="15"/>
  <c r="W58" i="15"/>
  <c r="W38" i="15"/>
  <c r="P60" i="21"/>
  <c r="C60" i="21" s="1"/>
  <c r="C59" i="21"/>
  <c r="J48" i="17"/>
  <c r="J42" i="17"/>
  <c r="J26" i="17" s="1"/>
  <c r="J54" i="17"/>
  <c r="J54" i="18"/>
  <c r="J48" i="18"/>
  <c r="J42" i="18"/>
  <c r="J26" i="18" s="1"/>
  <c r="J48" i="14"/>
  <c r="J54" i="14"/>
  <c r="J42" i="14"/>
  <c r="J26" i="14" s="1"/>
  <c r="AG12" i="16"/>
  <c r="V18" i="16"/>
  <c r="AC11" i="17"/>
  <c r="AC17" i="17" s="1"/>
  <c r="AD17" i="17"/>
  <c r="H13" i="14"/>
  <c r="AA19" i="16"/>
  <c r="AG26" i="16"/>
  <c r="N12" i="15"/>
  <c r="N22" i="15" s="1"/>
  <c r="U12" i="15"/>
  <c r="O22" i="15"/>
  <c r="T12" i="14"/>
  <c r="T18" i="14" s="1"/>
  <c r="U18" i="14"/>
  <c r="AH12" i="14"/>
  <c r="AH18" i="14" s="1"/>
  <c r="H13" i="28"/>
  <c r="V12" i="15"/>
  <c r="Q22" i="15"/>
  <c r="G18" i="16"/>
  <c r="F12" i="16"/>
  <c r="F18" i="16" s="1"/>
  <c r="Z12" i="16"/>
  <c r="W13" i="16"/>
  <c r="W19" i="16" s="1"/>
  <c r="R19" i="16"/>
  <c r="O18" i="17"/>
  <c r="U12" i="17"/>
  <c r="N12" i="17"/>
  <c r="N18" i="17" s="1"/>
  <c r="Q78" i="15"/>
  <c r="Q68" i="15"/>
  <c r="Q58" i="15"/>
  <c r="Q38" i="15" s="1"/>
  <c r="Q18" i="28"/>
  <c r="V12" i="28"/>
  <c r="AG12" i="14"/>
  <c r="V18" i="14"/>
  <c r="Y68" i="15"/>
  <c r="Y58" i="15"/>
  <c r="Y38" i="15"/>
  <c r="Y78" i="15"/>
  <c r="U12" i="18"/>
  <c r="O18" i="18"/>
  <c r="N12" i="18"/>
  <c r="N18" i="18" s="1"/>
  <c r="K18" i="14"/>
  <c r="J12" i="14"/>
  <c r="J18" i="14" s="1"/>
  <c r="G47" i="18"/>
  <c r="F47" i="18" s="1"/>
  <c r="K12" i="18" s="1"/>
  <c r="G41" i="18"/>
  <c r="F41" i="18" s="1"/>
  <c r="G12" i="18" s="1"/>
  <c r="G53" i="18"/>
  <c r="F53" i="18" s="1"/>
  <c r="L12" i="18" s="1"/>
  <c r="L18" i="18" s="1"/>
  <c r="T12" i="16"/>
  <c r="T18" i="16" s="1"/>
  <c r="AH12" i="16"/>
  <c r="AH18" i="16" s="1"/>
  <c r="U18" i="16"/>
  <c r="G41" i="28"/>
  <c r="F41" i="28" s="1"/>
  <c r="G12" i="28" s="1"/>
  <c r="G47" i="28"/>
  <c r="F47" i="28" s="1"/>
  <c r="K12" i="28" s="1"/>
  <c r="G53" i="28"/>
  <c r="F53" i="28" s="1"/>
  <c r="L12" i="28" s="1"/>
  <c r="L18" i="28" s="1"/>
  <c r="R78" i="15"/>
  <c r="R68" i="15"/>
  <c r="R58" i="15"/>
  <c r="R38" i="15"/>
  <c r="K18" i="16"/>
  <c r="J12" i="16"/>
  <c r="J18" i="16" s="1"/>
  <c r="F12" i="14"/>
  <c r="F18" i="14" s="1"/>
  <c r="G18" i="14"/>
  <c r="Z12" i="14"/>
  <c r="AC11" i="28"/>
  <c r="AC17" i="28" s="1"/>
  <c r="AD17" i="28"/>
  <c r="H14" i="15"/>
  <c r="Q18" i="18"/>
  <c r="V12" i="18"/>
  <c r="AA13" i="18"/>
  <c r="H19" i="18"/>
  <c r="R13" i="18"/>
  <c r="J42" i="28"/>
  <c r="J26" i="28"/>
  <c r="J54" i="28"/>
  <c r="J48" i="28"/>
  <c r="G63" i="15"/>
  <c r="F63" i="15" s="1"/>
  <c r="K12" i="15" s="1"/>
  <c r="G73" i="15"/>
  <c r="F73" i="15" s="1"/>
  <c r="L12" i="15" s="1"/>
  <c r="L22" i="15" s="1"/>
  <c r="G53" i="15"/>
  <c r="F53" i="15" s="1"/>
  <c r="G12" i="15" s="1"/>
  <c r="G41" i="17"/>
  <c r="F41" i="17" s="1"/>
  <c r="G12" i="17" s="1"/>
  <c r="G47" i="17"/>
  <c r="F47" i="17" s="1"/>
  <c r="K12" i="17" s="1"/>
  <c r="G53" i="17"/>
  <c r="F53" i="17" s="1"/>
  <c r="L12" i="17" s="1"/>
  <c r="L18" i="17" s="1"/>
  <c r="AD21" i="15"/>
  <c r="AC11" i="15"/>
  <c r="AC21" i="15" s="1"/>
  <c r="AK11" i="15"/>
  <c r="Z38" i="15"/>
  <c r="Z78" i="15"/>
  <c r="Z68" i="15"/>
  <c r="Z58" i="15"/>
  <c r="V68" i="15"/>
  <c r="V58" i="15"/>
  <c r="V78" i="15"/>
  <c r="V38" i="15"/>
  <c r="R58" i="21"/>
  <c r="G100" i="21"/>
  <c r="T58" i="21"/>
  <c r="V12" i="17"/>
  <c r="Q18" i="17"/>
  <c r="P78" i="15"/>
  <c r="P38" i="15"/>
  <c r="P68" i="15"/>
  <c r="P58" i="15"/>
  <c r="O18" i="28"/>
  <c r="U12" i="28"/>
  <c r="N12" i="28"/>
  <c r="N18" i="28" s="1"/>
  <c r="H33" i="15"/>
  <c r="Y12" i="14" l="1"/>
  <c r="Z18" i="14"/>
  <c r="AA19" i="18"/>
  <c r="AG26" i="18"/>
  <c r="K18" i="18"/>
  <c r="J12" i="18"/>
  <c r="J18" i="18" s="1"/>
  <c r="G101" i="21"/>
  <c r="T59" i="21"/>
  <c r="R59" i="21"/>
  <c r="AA19" i="17"/>
  <c r="AG26" i="17"/>
  <c r="Z12" i="15"/>
  <c r="F12" i="15"/>
  <c r="F22" i="15" s="1"/>
  <c r="G22" i="15"/>
  <c r="AJ11" i="15"/>
  <c r="AJ21" i="15" s="1"/>
  <c r="AK21" i="15"/>
  <c r="K22" i="15"/>
  <c r="J12" i="15"/>
  <c r="J22" i="15" s="1"/>
  <c r="V18" i="18"/>
  <c r="AG12" i="18"/>
  <c r="K18" i="28"/>
  <c r="J12" i="28"/>
  <c r="J18" i="28" s="1"/>
  <c r="R60" i="21"/>
  <c r="T60" i="21"/>
  <c r="G102" i="21"/>
  <c r="R19" i="17"/>
  <c r="W13" i="17"/>
  <c r="W19" i="17" s="1"/>
  <c r="U22" i="15"/>
  <c r="AH12" i="15"/>
  <c r="AH22" i="15" s="1"/>
  <c r="T12" i="15"/>
  <c r="T22" i="15" s="1"/>
  <c r="AH12" i="28"/>
  <c r="AH18" i="28" s="1"/>
  <c r="T12" i="28"/>
  <c r="T18" i="28" s="1"/>
  <c r="U18" i="28"/>
  <c r="G18" i="18"/>
  <c r="Z12" i="18"/>
  <c r="F12" i="18"/>
  <c r="F18" i="18" s="1"/>
  <c r="H24" i="15"/>
  <c r="AA14" i="15"/>
  <c r="R14" i="15"/>
  <c r="AG18" i="14"/>
  <c r="AE12" i="14"/>
  <c r="AE18" i="14" s="1"/>
  <c r="AH12" i="17"/>
  <c r="AH18" i="17" s="1"/>
  <c r="T12" i="17"/>
  <c r="T18" i="17" s="1"/>
  <c r="U18" i="17"/>
  <c r="V22" i="15"/>
  <c r="AG12" i="15"/>
  <c r="AG18" i="16"/>
  <c r="AE12" i="16"/>
  <c r="AE18" i="16" s="1"/>
  <c r="F12" i="17"/>
  <c r="F18" i="17" s="1"/>
  <c r="Z12" i="17"/>
  <c r="G18" i="17"/>
  <c r="AG12" i="28"/>
  <c r="V18" i="28"/>
  <c r="H19" i="28"/>
  <c r="R13" i="28"/>
  <c r="AA13" i="28"/>
  <c r="Z18" i="16"/>
  <c r="Y12" i="16"/>
  <c r="G18" i="28"/>
  <c r="Z12" i="28"/>
  <c r="F12" i="28"/>
  <c r="F18" i="28" s="1"/>
  <c r="J64" i="15"/>
  <c r="J54" i="15"/>
  <c r="J34" i="15"/>
  <c r="J74" i="15"/>
  <c r="AG12" i="17"/>
  <c r="V18" i="17"/>
  <c r="K18" i="17"/>
  <c r="J12" i="17"/>
  <c r="J18" i="17" s="1"/>
  <c r="U18" i="18"/>
  <c r="T12" i="18"/>
  <c r="T18" i="18" s="1"/>
  <c r="AH12" i="18"/>
  <c r="AH18" i="18" s="1"/>
  <c r="R19" i="18"/>
  <c r="W13" i="18"/>
  <c r="W19" i="18" s="1"/>
  <c r="R13" i="14"/>
  <c r="H19" i="14"/>
  <c r="AA13" i="14"/>
  <c r="K65" i="15" l="1"/>
  <c r="K55" i="15"/>
  <c r="K75" i="15"/>
  <c r="K35" i="15"/>
  <c r="AG22" i="15"/>
  <c r="AE12" i="15"/>
  <c r="AE22" i="15" s="1"/>
  <c r="Z18" i="28"/>
  <c r="Y12" i="28"/>
  <c r="AG18" i="28"/>
  <c r="AE12" i="28"/>
  <c r="AE18" i="28" s="1"/>
  <c r="AG18" i="18"/>
  <c r="AE12" i="18"/>
  <c r="AE18" i="18" s="1"/>
  <c r="Z22" i="15"/>
  <c r="Y12" i="15"/>
  <c r="AA24" i="15"/>
  <c r="AG35" i="15"/>
  <c r="AA19" i="14"/>
  <c r="AG26" i="14"/>
  <c r="W13" i="14"/>
  <c r="W19" i="14" s="1"/>
  <c r="R19" i="14"/>
  <c r="Y12" i="18"/>
  <c r="Z18" i="18"/>
  <c r="AA19" i="28"/>
  <c r="AG26" i="28"/>
  <c r="R19" i="28"/>
  <c r="W13" i="28"/>
  <c r="W19" i="28" s="1"/>
  <c r="R24" i="15"/>
  <c r="W14" i="15"/>
  <c r="W24" i="15" s="1"/>
  <c r="AG18" i="17"/>
  <c r="AE12" i="17"/>
  <c r="AE18" i="17" s="1"/>
  <c r="Y18" i="16"/>
  <c r="G25" i="16"/>
  <c r="Z18" i="17"/>
  <c r="Y12" i="17"/>
  <c r="Y18" i="14"/>
  <c r="G25" i="14"/>
  <c r="Y22" i="15" l="1"/>
  <c r="G33" i="15"/>
  <c r="Y18" i="18"/>
  <c r="G25" i="18"/>
  <c r="H15" i="15"/>
  <c r="L36" i="15"/>
  <c r="L76" i="15"/>
  <c r="L56" i="15"/>
  <c r="L66" i="15"/>
  <c r="AF15" i="15" s="1"/>
  <c r="G25" i="28"/>
  <c r="Y18" i="28"/>
  <c r="H48" i="14"/>
  <c r="P13" i="14" s="1"/>
  <c r="P19" i="14" s="1"/>
  <c r="AD12" i="14"/>
  <c r="H26" i="14"/>
  <c r="H54" i="14"/>
  <c r="Q13" i="14" s="1"/>
  <c r="H42" i="14"/>
  <c r="O13" i="14" s="1"/>
  <c r="F25" i="14"/>
  <c r="F25" i="16"/>
  <c r="AD12" i="16"/>
  <c r="H42" i="16"/>
  <c r="O13" i="16" s="1"/>
  <c r="H54" i="16"/>
  <c r="Q13" i="16" s="1"/>
  <c r="H48" i="16"/>
  <c r="P13" i="16" s="1"/>
  <c r="P19" i="16" s="1"/>
  <c r="G25" i="17"/>
  <c r="Y18" i="17"/>
  <c r="Q19" i="16" l="1"/>
  <c r="V13" i="16"/>
  <c r="N77" i="15"/>
  <c r="N67" i="15"/>
  <c r="N57" i="15"/>
  <c r="N37" i="15" s="1"/>
  <c r="N13" i="16"/>
  <c r="N19" i="16" s="1"/>
  <c r="U13" i="16"/>
  <c r="O19" i="16"/>
  <c r="AC12" i="14"/>
  <c r="AC18" i="14" s="1"/>
  <c r="AD18" i="14"/>
  <c r="H25" i="15"/>
  <c r="R15" i="15"/>
  <c r="AA15" i="15"/>
  <c r="H26" i="16"/>
  <c r="H54" i="18"/>
  <c r="Q13" i="18" s="1"/>
  <c r="H48" i="18"/>
  <c r="P13" i="18" s="1"/>
  <c r="P19" i="18" s="1"/>
  <c r="H26" i="18"/>
  <c r="AD12" i="18"/>
  <c r="F25" i="18"/>
  <c r="H42" i="18"/>
  <c r="O13" i="18" s="1"/>
  <c r="AD18" i="16"/>
  <c r="AC12" i="16"/>
  <c r="AC18" i="16" s="1"/>
  <c r="G54" i="16"/>
  <c r="F54" i="16" s="1"/>
  <c r="L13" i="16" s="1"/>
  <c r="L19" i="16" s="1"/>
  <c r="G48" i="16"/>
  <c r="F48" i="16" s="1"/>
  <c r="K13" i="16" s="1"/>
  <c r="G42" i="16"/>
  <c r="F42" i="16" s="1"/>
  <c r="G13" i="16" s="1"/>
  <c r="H54" i="28"/>
  <c r="Q13" i="28" s="1"/>
  <c r="H48" i="28"/>
  <c r="P13" i="28" s="1"/>
  <c r="P19" i="28" s="1"/>
  <c r="H42" i="28"/>
  <c r="O13" i="28" s="1"/>
  <c r="H26" i="28"/>
  <c r="AD12" i="28"/>
  <c r="F25" i="28"/>
  <c r="Q19" i="14"/>
  <c r="V13" i="14"/>
  <c r="G42" i="14"/>
  <c r="F42" i="14" s="1"/>
  <c r="G13" i="14" s="1"/>
  <c r="G54" i="14"/>
  <c r="F54" i="14" s="1"/>
  <c r="L13" i="14" s="1"/>
  <c r="L19" i="14" s="1"/>
  <c r="G48" i="14"/>
  <c r="F48" i="14" s="1"/>
  <c r="K13" i="14" s="1"/>
  <c r="AL15" i="15"/>
  <c r="AL25" i="15" s="1"/>
  <c r="AF25" i="15"/>
  <c r="H74" i="15"/>
  <c r="Q13" i="15" s="1"/>
  <c r="F33" i="15"/>
  <c r="H34" i="15"/>
  <c r="H64" i="15"/>
  <c r="P13" i="15" s="1"/>
  <c r="P23" i="15" s="1"/>
  <c r="AD12" i="15"/>
  <c r="H54" i="15"/>
  <c r="O13" i="15" s="1"/>
  <c r="F25" i="17"/>
  <c r="H42" i="17"/>
  <c r="O13" i="17" s="1"/>
  <c r="AD12" i="17"/>
  <c r="H48" i="17"/>
  <c r="P13" i="17" s="1"/>
  <c r="P19" i="17" s="1"/>
  <c r="H54" i="17"/>
  <c r="Q13" i="17" s="1"/>
  <c r="H26" i="17"/>
  <c r="N13" i="14"/>
  <c r="N19" i="14" s="1"/>
  <c r="O19" i="14"/>
  <c r="U13" i="14"/>
  <c r="O58" i="15" l="1"/>
  <c r="O78" i="15"/>
  <c r="O68" i="15"/>
  <c r="O38" i="15"/>
  <c r="AH13" i="14"/>
  <c r="AH19" i="14" s="1"/>
  <c r="T13" i="14"/>
  <c r="T19" i="14" s="1"/>
  <c r="U19" i="14"/>
  <c r="N13" i="17"/>
  <c r="N19" i="17" s="1"/>
  <c r="O19" i="17"/>
  <c r="U13" i="17"/>
  <c r="G54" i="28"/>
  <c r="F54" i="28" s="1"/>
  <c r="L13" i="28" s="1"/>
  <c r="L19" i="28" s="1"/>
  <c r="G48" i="28"/>
  <c r="F48" i="28" s="1"/>
  <c r="K13" i="28" s="1"/>
  <c r="G42" i="28"/>
  <c r="F42" i="28" s="1"/>
  <c r="G13" i="28" s="1"/>
  <c r="Q19" i="18"/>
  <c r="V13" i="18"/>
  <c r="T13" i="16"/>
  <c r="T19" i="16" s="1"/>
  <c r="U19" i="16"/>
  <c r="AH13" i="16"/>
  <c r="AH19" i="16" s="1"/>
  <c r="U13" i="15"/>
  <c r="O23" i="15"/>
  <c r="N13" i="15"/>
  <c r="N23" i="15" s="1"/>
  <c r="AA25" i="15"/>
  <c r="AG36" i="15"/>
  <c r="AD22" i="15"/>
  <c r="AK12" i="15"/>
  <c r="AC12" i="15"/>
  <c r="AC22" i="15" s="1"/>
  <c r="J13" i="14"/>
  <c r="J19" i="14" s="1"/>
  <c r="K19" i="14"/>
  <c r="U13" i="28"/>
  <c r="O19" i="28"/>
  <c r="N13" i="28"/>
  <c r="N19" i="28" s="1"/>
  <c r="U13" i="18"/>
  <c r="O19" i="18"/>
  <c r="N13" i="18"/>
  <c r="N19" i="18" s="1"/>
  <c r="R25" i="15"/>
  <c r="W15" i="15"/>
  <c r="W25" i="15" s="1"/>
  <c r="G54" i="18"/>
  <c r="F54" i="18" s="1"/>
  <c r="L13" i="18" s="1"/>
  <c r="L19" i="18" s="1"/>
  <c r="G42" i="18"/>
  <c r="F42" i="18" s="1"/>
  <c r="G13" i="18" s="1"/>
  <c r="G48" i="18"/>
  <c r="F48" i="18" s="1"/>
  <c r="K13" i="18" s="1"/>
  <c r="G48" i="17"/>
  <c r="F48" i="17" s="1"/>
  <c r="K13" i="17" s="1"/>
  <c r="G54" i="17"/>
  <c r="F54" i="17" s="1"/>
  <c r="L13" i="17" s="1"/>
  <c r="L19" i="17" s="1"/>
  <c r="G42" i="17"/>
  <c r="F42" i="17" s="1"/>
  <c r="G13" i="17" s="1"/>
  <c r="Q19" i="17"/>
  <c r="V13" i="17"/>
  <c r="J65" i="15"/>
  <c r="J55" i="15"/>
  <c r="J35" i="15" s="1"/>
  <c r="J75" i="15"/>
  <c r="F13" i="14"/>
  <c r="F19" i="14" s="1"/>
  <c r="G19" i="14"/>
  <c r="Z13" i="14"/>
  <c r="Q19" i="28"/>
  <c r="V13" i="28"/>
  <c r="AD18" i="18"/>
  <c r="AC12" i="18"/>
  <c r="AC18" i="18" s="1"/>
  <c r="G64" i="15"/>
  <c r="F64" i="15" s="1"/>
  <c r="K13" i="15" s="1"/>
  <c r="G54" i="15"/>
  <c r="F54" i="15" s="1"/>
  <c r="G13" i="15" s="1"/>
  <c r="G74" i="15"/>
  <c r="F74" i="15" s="1"/>
  <c r="L13" i="15" s="1"/>
  <c r="L23" i="15" s="1"/>
  <c r="AG13" i="14"/>
  <c r="V19" i="14"/>
  <c r="G19" i="16"/>
  <c r="Z13" i="16"/>
  <c r="F13" i="16"/>
  <c r="F19" i="16" s="1"/>
  <c r="AG13" i="16"/>
  <c r="V19" i="16"/>
  <c r="AD18" i="28"/>
  <c r="AC12" i="28"/>
  <c r="AC18" i="28" s="1"/>
  <c r="AD18" i="17"/>
  <c r="AC12" i="17"/>
  <c r="AC18" i="17" s="1"/>
  <c r="Q23" i="15"/>
  <c r="V13" i="15"/>
  <c r="J13" i="16"/>
  <c r="J19" i="16" s="1"/>
  <c r="K19" i="16"/>
  <c r="K66" i="15" l="1"/>
  <c r="K36" i="15"/>
  <c r="K56" i="15"/>
  <c r="K76" i="15"/>
  <c r="AG19" i="16"/>
  <c r="AE13" i="16"/>
  <c r="AE19" i="16" s="1"/>
  <c r="J13" i="15"/>
  <c r="J23" i="15" s="1"/>
  <c r="K23" i="15"/>
  <c r="K19" i="17"/>
  <c r="J13" i="17"/>
  <c r="J19" i="17" s="1"/>
  <c r="U19" i="18"/>
  <c r="T13" i="18"/>
  <c r="T19" i="18" s="1"/>
  <c r="AH13" i="18"/>
  <c r="AH19" i="18" s="1"/>
  <c r="K19" i="18"/>
  <c r="J13" i="18"/>
  <c r="J19" i="18" s="1"/>
  <c r="Y13" i="16"/>
  <c r="Z19" i="16"/>
  <c r="AG13" i="18"/>
  <c r="V19" i="18"/>
  <c r="AH13" i="28"/>
  <c r="AH19" i="28" s="1"/>
  <c r="U19" i="28"/>
  <c r="T13" i="28"/>
  <c r="T19" i="28" s="1"/>
  <c r="G19" i="28"/>
  <c r="Z13" i="28"/>
  <c r="F13" i="28"/>
  <c r="F19" i="28" s="1"/>
  <c r="AG13" i="17"/>
  <c r="V19" i="17"/>
  <c r="J13" i="28"/>
  <c r="J19" i="28" s="1"/>
  <c r="K19" i="28"/>
  <c r="H16" i="15"/>
  <c r="Z13" i="18"/>
  <c r="F13" i="18"/>
  <c r="F19" i="18" s="1"/>
  <c r="G19" i="18"/>
  <c r="V19" i="28"/>
  <c r="AG13" i="28"/>
  <c r="AG19" i="14"/>
  <c r="AE13" i="14"/>
  <c r="AE19" i="14" s="1"/>
  <c r="Y13" i="14"/>
  <c r="Z19" i="14"/>
  <c r="T13" i="15"/>
  <c r="T23" i="15" s="1"/>
  <c r="AH13" i="15"/>
  <c r="AH23" i="15" s="1"/>
  <c r="U23" i="15"/>
  <c r="V23" i="15"/>
  <c r="AG13" i="15"/>
  <c r="Z13" i="17"/>
  <c r="F13" i="17"/>
  <c r="F19" i="17" s="1"/>
  <c r="G19" i="17"/>
  <c r="U19" i="17"/>
  <c r="AH13" i="17"/>
  <c r="AH19" i="17" s="1"/>
  <c r="T13" i="17"/>
  <c r="T19" i="17" s="1"/>
  <c r="G23" i="15"/>
  <c r="Z13" i="15"/>
  <c r="F13" i="15"/>
  <c r="F23" i="15" s="1"/>
  <c r="AJ12" i="15"/>
  <c r="AJ22" i="15" s="1"/>
  <c r="AK22" i="15"/>
  <c r="H26" i="15" l="1"/>
  <c r="AA16" i="15"/>
  <c r="R16" i="15"/>
  <c r="Y13" i="18"/>
  <c r="Z19" i="18"/>
  <c r="Z19" i="28"/>
  <c r="Y13" i="28"/>
  <c r="Y19" i="16"/>
  <c r="G26" i="16"/>
  <c r="Z19" i="17"/>
  <c r="Y13" i="17"/>
  <c r="Z23" i="15"/>
  <c r="Y13" i="15"/>
  <c r="AG23" i="15"/>
  <c r="AE13" i="15"/>
  <c r="AE23" i="15" s="1"/>
  <c r="G26" i="14"/>
  <c r="Y19" i="14"/>
  <c r="AG19" i="28"/>
  <c r="AE13" i="28"/>
  <c r="AE19" i="28" s="1"/>
  <c r="AG19" i="17"/>
  <c r="AE13" i="17"/>
  <c r="AE19" i="17" s="1"/>
  <c r="AG19" i="18"/>
  <c r="AE13" i="18"/>
  <c r="AE19" i="18" s="1"/>
  <c r="L77" i="15"/>
  <c r="L67" i="15"/>
  <c r="AF16" i="15" s="1"/>
  <c r="L57" i="15"/>
  <c r="L37" i="15"/>
  <c r="Y19" i="28" l="1"/>
  <c r="G26" i="28"/>
  <c r="Y19" i="18"/>
  <c r="G26" i="18"/>
  <c r="G34" i="15"/>
  <c r="Y23" i="15"/>
  <c r="N78" i="15"/>
  <c r="N38" i="15"/>
  <c r="N68" i="15"/>
  <c r="N58" i="15"/>
  <c r="Y19" i="17"/>
  <c r="G26" i="17"/>
  <c r="W16" i="15"/>
  <c r="W26" i="15" s="1"/>
  <c r="R26" i="15"/>
  <c r="F26" i="14"/>
  <c r="AD13" i="14"/>
  <c r="AA26" i="15"/>
  <c r="AG37" i="15"/>
  <c r="AF26" i="15"/>
  <c r="AL16" i="15"/>
  <c r="AL26" i="15" s="1"/>
  <c r="AD13" i="16"/>
  <c r="F26" i="16"/>
  <c r="F34" i="15" l="1"/>
  <c r="H55" i="15"/>
  <c r="O14" i="15" s="1"/>
  <c r="H75" i="15"/>
  <c r="Q14" i="15" s="1"/>
  <c r="AD13" i="15"/>
  <c r="H65" i="15"/>
  <c r="P14" i="15" s="1"/>
  <c r="P24" i="15" s="1"/>
  <c r="AD13" i="18"/>
  <c r="F26" i="18"/>
  <c r="AC13" i="14"/>
  <c r="AC19" i="14" s="1"/>
  <c r="AD19" i="14"/>
  <c r="F26" i="17"/>
  <c r="AD13" i="17"/>
  <c r="H17" i="15"/>
  <c r="AC13" i="16"/>
  <c r="AC19" i="16" s="1"/>
  <c r="AD19" i="16"/>
  <c r="F26" i="28"/>
  <c r="AD13" i="28"/>
  <c r="AD19" i="18" l="1"/>
  <c r="AC13" i="18"/>
  <c r="AC19" i="18" s="1"/>
  <c r="AD23" i="15"/>
  <c r="AC13" i="15"/>
  <c r="AC23" i="15" s="1"/>
  <c r="AK13" i="15"/>
  <c r="Q24" i="15"/>
  <c r="V14" i="15"/>
  <c r="H27" i="15"/>
  <c r="R17" i="15"/>
  <c r="AA17" i="15"/>
  <c r="N14" i="15"/>
  <c r="N24" i="15" s="1"/>
  <c r="U14" i="15"/>
  <c r="O24" i="15"/>
  <c r="AD19" i="28"/>
  <c r="AC13" i="28"/>
  <c r="AC19" i="28" s="1"/>
  <c r="G65" i="15"/>
  <c r="F65" i="15" s="1"/>
  <c r="K14" i="15" s="1"/>
  <c r="G75" i="15"/>
  <c r="F75" i="15" s="1"/>
  <c r="L14" i="15" s="1"/>
  <c r="L24" i="15" s="1"/>
  <c r="G55" i="15"/>
  <c r="F55" i="15" s="1"/>
  <c r="G14" i="15" s="1"/>
  <c r="AD19" i="17"/>
  <c r="AC13" i="17"/>
  <c r="AC19" i="17" s="1"/>
  <c r="H35" i="15"/>
  <c r="G24" i="15" l="1"/>
  <c r="Z14" i="15"/>
  <c r="F14" i="15"/>
  <c r="F24" i="15" s="1"/>
  <c r="J76" i="15"/>
  <c r="J66" i="15"/>
  <c r="J56" i="15"/>
  <c r="J36" i="15" s="1"/>
  <c r="AK23" i="15"/>
  <c r="AJ13" i="15"/>
  <c r="AJ23" i="15" s="1"/>
  <c r="K24" i="15"/>
  <c r="J14" i="15"/>
  <c r="J24" i="15" s="1"/>
  <c r="AG14" i="15"/>
  <c r="V24" i="15"/>
  <c r="AH14" i="15"/>
  <c r="AH24" i="15" s="1"/>
  <c r="U24" i="15"/>
  <c r="T14" i="15"/>
  <c r="T24" i="15" s="1"/>
  <c r="AA27" i="15"/>
  <c r="AG38" i="15"/>
  <c r="R27" i="15"/>
  <c r="W17" i="15"/>
  <c r="W27" i="15" s="1"/>
  <c r="K67" i="15" l="1"/>
  <c r="K57" i="15"/>
  <c r="K77" i="15"/>
  <c r="K37" i="15"/>
  <c r="AG24" i="15"/>
  <c r="AE14" i="15"/>
  <c r="AE24" i="15" s="1"/>
  <c r="Z24" i="15"/>
  <c r="Y14" i="15"/>
  <c r="Y24" i="15" l="1"/>
  <c r="G35" i="15"/>
  <c r="L68" i="15"/>
  <c r="AF17" i="15" s="1"/>
  <c r="L58" i="15"/>
  <c r="L78" i="15"/>
  <c r="L38" i="15"/>
  <c r="AF27" i="15" l="1"/>
  <c r="AL17" i="15"/>
  <c r="AL27" i="15" s="1"/>
  <c r="H76" i="15"/>
  <c r="Q15" i="15" s="1"/>
  <c r="H66" i="15"/>
  <c r="P15" i="15" s="1"/>
  <c r="P25" i="15" s="1"/>
  <c r="AD14" i="15"/>
  <c r="H56" i="15"/>
  <c r="O15" i="15" s="1"/>
  <c r="F35" i="15"/>
  <c r="O25" i="15" l="1"/>
  <c r="U15" i="15"/>
  <c r="N15" i="15"/>
  <c r="N25" i="15" s="1"/>
  <c r="AD24" i="15"/>
  <c r="AK14" i="15"/>
  <c r="AC14" i="15"/>
  <c r="AC24" i="15" s="1"/>
  <c r="Q25" i="15"/>
  <c r="V15" i="15"/>
  <c r="H36" i="15"/>
  <c r="G56" i="15"/>
  <c r="F56" i="15" s="1"/>
  <c r="G15" i="15" s="1"/>
  <c r="G66" i="15"/>
  <c r="F66" i="15" s="1"/>
  <c r="K15" i="15" s="1"/>
  <c r="G76" i="15"/>
  <c r="F76" i="15" s="1"/>
  <c r="L15" i="15" s="1"/>
  <c r="L25" i="15" s="1"/>
  <c r="V25" i="15" l="1"/>
  <c r="AG15" i="15"/>
  <c r="AK24" i="15"/>
  <c r="AJ14" i="15"/>
  <c r="AJ24" i="15" s="1"/>
  <c r="K25" i="15"/>
  <c r="J15" i="15"/>
  <c r="J25" i="15" s="1"/>
  <c r="G25" i="15"/>
  <c r="Z15" i="15"/>
  <c r="F15" i="15"/>
  <c r="F25" i="15" s="1"/>
  <c r="T15" i="15"/>
  <c r="T25" i="15" s="1"/>
  <c r="U25" i="15"/>
  <c r="AH15" i="15"/>
  <c r="AH25" i="15" s="1"/>
  <c r="J77" i="15"/>
  <c r="J67" i="15"/>
  <c r="J57" i="15"/>
  <c r="J37" i="15" s="1"/>
  <c r="K68" i="15" l="1"/>
  <c r="K58" i="15"/>
  <c r="K78" i="15"/>
  <c r="K38" i="15"/>
  <c r="Z25" i="15"/>
  <c r="Y15" i="15"/>
  <c r="AG25" i="15"/>
  <c r="AE15" i="15"/>
  <c r="AE25" i="15" s="1"/>
  <c r="Y25" i="15" l="1"/>
  <c r="G36" i="15"/>
  <c r="H67" i="15" l="1"/>
  <c r="P16" i="15" s="1"/>
  <c r="P26" i="15" s="1"/>
  <c r="H57" i="15"/>
  <c r="O16" i="15" s="1"/>
  <c r="H77" i="15"/>
  <c r="Q16" i="15" s="1"/>
  <c r="F36" i="15"/>
  <c r="AD15" i="15"/>
  <c r="N16" i="15" l="1"/>
  <c r="N26" i="15" s="1"/>
  <c r="U16" i="15"/>
  <c r="O26" i="15"/>
  <c r="H37" i="15"/>
  <c r="AD25" i="15"/>
  <c r="AC15" i="15"/>
  <c r="AC25" i="15" s="1"/>
  <c r="AK15" i="15"/>
  <c r="G67" i="15"/>
  <c r="F67" i="15" s="1"/>
  <c r="K16" i="15" s="1"/>
  <c r="G57" i="15"/>
  <c r="F57" i="15" s="1"/>
  <c r="G16" i="15" s="1"/>
  <c r="G77" i="15"/>
  <c r="F77" i="15" s="1"/>
  <c r="L16" i="15" s="1"/>
  <c r="L26" i="15" s="1"/>
  <c r="V16" i="15"/>
  <c r="Q26" i="15"/>
  <c r="AK25" i="15" l="1"/>
  <c r="AJ15" i="15"/>
  <c r="AJ25" i="15" s="1"/>
  <c r="J58" i="15"/>
  <c r="J78" i="15"/>
  <c r="J38" i="15"/>
  <c r="J68" i="15"/>
  <c r="V26" i="15"/>
  <c r="AG16" i="15"/>
  <c r="U26" i="15"/>
  <c r="AH16" i="15"/>
  <c r="AH26" i="15" s="1"/>
  <c r="T16" i="15"/>
  <c r="T26" i="15" s="1"/>
  <c r="K26" i="15"/>
  <c r="J16" i="15"/>
  <c r="J26" i="15" s="1"/>
  <c r="Z16" i="15"/>
  <c r="F16" i="15"/>
  <c r="F26" i="15" s="1"/>
  <c r="G26" i="15"/>
  <c r="AG26" i="15" l="1"/>
  <c r="AE16" i="15"/>
  <c r="AE26" i="15" s="1"/>
  <c r="Z26" i="15"/>
  <c r="Y16" i="15"/>
  <c r="Y26" i="15" l="1"/>
  <c r="G37" i="15"/>
  <c r="H68" i="15" l="1"/>
  <c r="P17" i="15" s="1"/>
  <c r="P27" i="15" s="1"/>
  <c r="H78" i="15"/>
  <c r="Q17" i="15" s="1"/>
  <c r="F37" i="15"/>
  <c r="AD16" i="15"/>
  <c r="H58" i="15"/>
  <c r="O17" i="15" s="1"/>
  <c r="Q27" i="15" l="1"/>
  <c r="V17" i="15"/>
  <c r="U17" i="15"/>
  <c r="O27" i="15"/>
  <c r="N17" i="15"/>
  <c r="N27" i="15" s="1"/>
  <c r="AD26" i="15"/>
  <c r="AK16" i="15"/>
  <c r="AC16" i="15"/>
  <c r="AC26" i="15" s="1"/>
  <c r="H38" i="15"/>
  <c r="G78" i="15"/>
  <c r="F78" i="15" s="1"/>
  <c r="L17" i="15" s="1"/>
  <c r="L27" i="15" s="1"/>
  <c r="G68" i="15"/>
  <c r="F68" i="15" s="1"/>
  <c r="K17" i="15" s="1"/>
  <c r="G58" i="15"/>
  <c r="F58" i="15" s="1"/>
  <c r="G17" i="15" s="1"/>
  <c r="AJ16" i="15" l="1"/>
  <c r="AJ26" i="15" s="1"/>
  <c r="AK26" i="15"/>
  <c r="G27" i="15"/>
  <c r="Z17" i="15"/>
  <c r="F17" i="15"/>
  <c r="F27" i="15" s="1"/>
  <c r="J17" i="15"/>
  <c r="J27" i="15" s="1"/>
  <c r="K27" i="15"/>
  <c r="U27" i="15"/>
  <c r="T17" i="15"/>
  <c r="T27" i="15" s="1"/>
  <c r="AH17" i="15"/>
  <c r="AH27" i="15" s="1"/>
  <c r="V27" i="15"/>
  <c r="AG17" i="15"/>
  <c r="AG27" i="15" l="1"/>
  <c r="AE17" i="15"/>
  <c r="AE27" i="15" s="1"/>
  <c r="Z27" i="15"/>
  <c r="Y17" i="15"/>
  <c r="G38" i="15" l="1"/>
  <c r="Y27" i="15"/>
  <c r="F38" i="15" l="1"/>
  <c r="AD17" i="15"/>
  <c r="AC17" i="15" l="1"/>
  <c r="AC27" i="15" s="1"/>
  <c r="AK17" i="15"/>
  <c r="AD27" i="15"/>
  <c r="AK27" i="15" l="1"/>
  <c r="AJ17" i="15"/>
  <c r="AJ27" i="15" s="1"/>
</calcChain>
</file>

<file path=xl/sharedStrings.xml><?xml version="1.0" encoding="utf-8"?>
<sst xmlns="http://schemas.openxmlformats.org/spreadsheetml/2006/main" count="1538" uniqueCount="699">
  <si>
    <t>（単位：人）</t>
    <rPh sb="1" eb="3">
      <t>タンイ</t>
    </rPh>
    <rPh sb="4" eb="5">
      <t>ニン</t>
    </rPh>
    <phoneticPr fontId="4"/>
  </si>
  <si>
    <t>計</t>
    <rPh sb="0" eb="1">
      <t>ケイ</t>
    </rPh>
    <phoneticPr fontId="4"/>
  </si>
  <si>
    <t>年</t>
    <rPh sb="0" eb="1">
      <t>ネン</t>
    </rPh>
    <phoneticPr fontId="4"/>
  </si>
  <si>
    <t>林業</t>
    <rPh sb="0" eb="2">
      <t>リンギョウ</t>
    </rPh>
    <phoneticPr fontId="4"/>
  </si>
  <si>
    <t>協同組合</t>
    <rPh sb="0" eb="2">
      <t>キョウドウ</t>
    </rPh>
    <rPh sb="2" eb="4">
      <t>クミアイ</t>
    </rPh>
    <phoneticPr fontId="4"/>
  </si>
  <si>
    <t>総数
(15歳以上)</t>
    <phoneticPr fontId="4"/>
  </si>
  <si>
    <t>15～19</t>
    <phoneticPr fontId="4"/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</si>
  <si>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</si>
  <si>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</si>
  <si>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</si>
  <si>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</si>
  <si>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</si>
  <si>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</si>
  <si>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</si>
  <si>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</si>
  <si>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</si>
  <si>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</si>
  <si>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</si>
  <si>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75歳以上</t>
  </si>
  <si>
    <t>総数の対人口比(%)</t>
    <rPh sb="0" eb="2">
      <t>ソウスウ</t>
    </rPh>
    <rPh sb="3" eb="4">
      <t>タイ</t>
    </rPh>
    <rPh sb="4" eb="7">
      <t>ジンコウヒ</t>
    </rPh>
    <phoneticPr fontId="4"/>
  </si>
  <si>
    <t>平均年齢(歳)</t>
    <rPh sb="0" eb="2">
      <t>ヘイキン</t>
    </rPh>
    <rPh sb="2" eb="4">
      <t>ネンレイ</t>
    </rPh>
    <rPh sb="5" eb="6">
      <t>サイ</t>
    </rPh>
    <phoneticPr fontId="4"/>
  </si>
  <si>
    <t>15～34歳のコーホート変化数の合計(人)</t>
    <rPh sb="12" eb="14">
      <t>ヘンカ</t>
    </rPh>
    <rPh sb="14" eb="15">
      <t>スウ</t>
    </rPh>
    <rPh sb="16" eb="18">
      <t>ゴウケイ</t>
    </rPh>
    <rPh sb="19" eb="20">
      <t>ニン</t>
    </rPh>
    <phoneticPr fontId="4"/>
  </si>
  <si>
    <t>当期人口比</t>
    <rPh sb="0" eb="2">
      <t>トウキ</t>
    </rPh>
    <rPh sb="2" eb="5">
      <t>ジンコウヒ</t>
    </rPh>
    <phoneticPr fontId="4"/>
  </si>
  <si>
    <t>コーホート変化数の対人口比</t>
    <rPh sb="5" eb="7">
      <t>ヘンカ</t>
    </rPh>
    <rPh sb="7" eb="8">
      <t>スウ</t>
    </rPh>
    <rPh sb="9" eb="10">
      <t>タイ</t>
    </rPh>
    <rPh sb="10" eb="12">
      <t>ジンコウ</t>
    </rPh>
    <rPh sb="12" eb="13">
      <t>ヒ</t>
    </rPh>
    <phoneticPr fontId="4"/>
  </si>
  <si>
    <t>コーホート変化率</t>
    <phoneticPr fontId="4"/>
  </si>
  <si>
    <t>コーホート変化数の対人口比</t>
    <rPh sb="5" eb="7">
      <t>ヘンカ</t>
    </rPh>
    <rPh sb="7" eb="8">
      <t>スウ</t>
    </rPh>
    <rPh sb="9" eb="10">
      <t>タイ</t>
    </rPh>
    <rPh sb="10" eb="13">
      <t>ジンコウヒ</t>
    </rPh>
    <phoneticPr fontId="4"/>
  </si>
  <si>
    <t>コーホート変化率</t>
    <phoneticPr fontId="4"/>
  </si>
  <si>
    <t>（資料）「国勢調査 平成27年」、「日本の将来推計人口（平成29年推計）」、筆者推計</t>
    <rPh sb="10" eb="12">
      <t>ヘイセイ</t>
    </rPh>
    <rPh sb="14" eb="15">
      <t>ネン</t>
    </rPh>
    <phoneticPr fontId="4"/>
  </si>
  <si>
    <t>（注）・推計方法は本文を参照。</t>
    <rPh sb="1" eb="2">
      <t>チュウ</t>
    </rPh>
    <rPh sb="4" eb="6">
      <t>スイケイ</t>
    </rPh>
    <rPh sb="6" eb="8">
      <t>ホウホウ</t>
    </rPh>
    <rPh sb="9" eb="11">
      <t>ホンブン</t>
    </rPh>
    <rPh sb="12" eb="14">
      <t>サンショウ</t>
    </rPh>
    <phoneticPr fontId="4"/>
  </si>
  <si>
    <t>　　　・平均年齢は、年齢階級の中央値（17歳, 22歳, ...）で算出した。また、年齢階級75歳以上には77歳をあてたので、</t>
    <rPh sb="4" eb="6">
      <t>ヘイキン</t>
    </rPh>
    <rPh sb="6" eb="8">
      <t>ネンレイ</t>
    </rPh>
    <rPh sb="10" eb="12">
      <t>ネンレイ</t>
    </rPh>
    <rPh sb="12" eb="14">
      <t>カイキュウ</t>
    </rPh>
    <rPh sb="15" eb="17">
      <t>チュウオウ</t>
    </rPh>
    <rPh sb="17" eb="18">
      <t>アタイ</t>
    </rPh>
    <rPh sb="21" eb="22">
      <t>サイ</t>
    </rPh>
    <rPh sb="26" eb="27">
      <t>サイ</t>
    </rPh>
    <rPh sb="34" eb="36">
      <t>サンシュツ</t>
    </rPh>
    <rPh sb="42" eb="44">
      <t>ネンレイ</t>
    </rPh>
    <rPh sb="44" eb="46">
      <t>カイキュウ</t>
    </rPh>
    <rPh sb="55" eb="56">
      <t>サイ</t>
    </rPh>
    <phoneticPr fontId="4"/>
  </si>
  <si>
    <t>　　　　元の国勢調査の年齢階級（75～79歳・80～84歳・85歳以上）で算出される平均年齢よりやや小さい値となる。</t>
    <rPh sb="4" eb="5">
      <t>モト</t>
    </rPh>
    <rPh sb="6" eb="8">
      <t>コクセイ</t>
    </rPh>
    <rPh sb="8" eb="10">
      <t>チョウサ</t>
    </rPh>
    <rPh sb="11" eb="13">
      <t>ネンレイ</t>
    </rPh>
    <rPh sb="13" eb="15">
      <t>カイキュウ</t>
    </rPh>
    <rPh sb="21" eb="22">
      <t>サイ</t>
    </rPh>
    <rPh sb="28" eb="29">
      <t>サイ</t>
    </rPh>
    <rPh sb="32" eb="33">
      <t>サイ</t>
    </rPh>
    <rPh sb="33" eb="35">
      <t>イジョウ</t>
    </rPh>
    <rPh sb="37" eb="39">
      <t>サンシュツ</t>
    </rPh>
    <rPh sb="42" eb="44">
      <t>ヘイキン</t>
    </rPh>
    <rPh sb="44" eb="46">
      <t>ネンレイ</t>
    </rPh>
    <rPh sb="50" eb="51">
      <t>チイ</t>
    </rPh>
    <rPh sb="53" eb="54">
      <t>アタイ</t>
    </rPh>
    <phoneticPr fontId="4"/>
  </si>
  <si>
    <t>↓以下は隠し行</t>
    <rPh sb="1" eb="3">
      <t>イカ</t>
    </rPh>
    <rPh sb="4" eb="5">
      <t>カク</t>
    </rPh>
    <rPh sb="6" eb="7">
      <t>ギョウ</t>
    </rPh>
    <phoneticPr fontId="4"/>
  </si>
  <si>
    <t>人口</t>
    <rPh sb="0" eb="2">
      <t>ジンコウ</t>
    </rPh>
    <phoneticPr fontId="4"/>
  </si>
  <si>
    <t>（資料）「日本の将来推計人口（平成29年推計）」</t>
    <phoneticPr fontId="4"/>
  </si>
  <si>
    <t>平均年齢計算用</t>
    <rPh sb="0" eb="2">
      <t>ヘイキン</t>
    </rPh>
    <rPh sb="2" eb="4">
      <t>ネンレイ</t>
    </rPh>
    <rPh sb="4" eb="6">
      <t>ケイサン</t>
    </rPh>
    <rPh sb="6" eb="7">
      <t>ヨウ</t>
    </rPh>
    <phoneticPr fontId="4"/>
  </si>
  <si>
    <t>(1)ベースケース</t>
    <phoneticPr fontId="4"/>
  </si>
  <si>
    <t>(2)参入1.5倍</t>
    <rPh sb="3" eb="5">
      <t>サンニュウ</t>
    </rPh>
    <rPh sb="8" eb="9">
      <t>バイ</t>
    </rPh>
    <phoneticPr fontId="4"/>
  </si>
  <si>
    <t>(3)参入2倍</t>
    <rPh sb="3" eb="5">
      <t>サンニュウ</t>
    </rPh>
    <rPh sb="6" eb="7">
      <t>バイ</t>
    </rPh>
    <phoneticPr fontId="4"/>
  </si>
  <si>
    <t>(4)参入2.5倍</t>
    <rPh sb="3" eb="5">
      <t>サンニュウ</t>
    </rPh>
    <rPh sb="8" eb="9">
      <t>バイ</t>
    </rPh>
    <phoneticPr fontId="4"/>
  </si>
  <si>
    <t>(5)2000→05年変化率</t>
    <rPh sb="10" eb="11">
      <t>ネン</t>
    </rPh>
    <rPh sb="11" eb="13">
      <t>ヘンカ</t>
    </rPh>
    <rPh sb="13" eb="14">
      <t>リツ</t>
    </rPh>
    <phoneticPr fontId="4"/>
  </si>
  <si>
    <t>(6)2005→10年変化率</t>
    <rPh sb="10" eb="11">
      <t>ネン</t>
    </rPh>
    <rPh sb="11" eb="13">
      <t>ヘンカ</t>
    </rPh>
    <rPh sb="13" eb="14">
      <t>リツ</t>
    </rPh>
    <phoneticPr fontId="4"/>
  </si>
  <si>
    <t>（単位：人、%）</t>
    <rPh sb="1" eb="3">
      <t>タンイ</t>
    </rPh>
    <rPh sb="4" eb="5">
      <t>ニン</t>
    </rPh>
    <phoneticPr fontId="4"/>
  </si>
  <si>
    <t>総数
(15歳以上)</t>
    <phoneticPr fontId="4"/>
  </si>
  <si>
    <t>15～19</t>
    <phoneticPr fontId="4"/>
  </si>
  <si>
    <t>年齢階級別従事者数</t>
    <phoneticPr fontId="4"/>
  </si>
  <si>
    <t>コーホート変化数： (当期の年齢階級別従事者数)－(前期の1つ下の年齢階級別従事者数)</t>
    <rPh sb="5" eb="7">
      <t>ヘンカ</t>
    </rPh>
    <rPh sb="7" eb="8">
      <t>スウ</t>
    </rPh>
    <rPh sb="11" eb="13">
      <t>トウキ</t>
    </rPh>
    <rPh sb="14" eb="16">
      <t>ネンレイ</t>
    </rPh>
    <rPh sb="16" eb="18">
      <t>カイキュウ</t>
    </rPh>
    <rPh sb="18" eb="19">
      <t>ベツ</t>
    </rPh>
    <rPh sb="19" eb="22">
      <t>ジュウジシャ</t>
    </rPh>
    <rPh sb="22" eb="23">
      <t>スウ</t>
    </rPh>
    <rPh sb="26" eb="28">
      <t>ゼンキ</t>
    </rPh>
    <rPh sb="31" eb="32">
      <t>シタ</t>
    </rPh>
    <rPh sb="33" eb="35">
      <t>ネンレイ</t>
    </rPh>
    <rPh sb="35" eb="37">
      <t>カイキュウ</t>
    </rPh>
    <rPh sb="37" eb="38">
      <t>ベツ</t>
    </rPh>
    <rPh sb="38" eb="41">
      <t>ジュウジシャ</t>
    </rPh>
    <rPh sb="41" eb="42">
      <t>スウ</t>
    </rPh>
    <phoneticPr fontId="4"/>
  </si>
  <si>
    <t>15～34歳の合計</t>
    <rPh sb="5" eb="6">
      <t>サイ</t>
    </rPh>
    <rPh sb="7" eb="9">
      <t>ゴウケイ</t>
    </rPh>
    <phoneticPr fontId="4"/>
  </si>
  <si>
    <t>1980→85</t>
    <phoneticPr fontId="4"/>
  </si>
  <si>
    <t>1985→90</t>
    <phoneticPr fontId="4"/>
  </si>
  <si>
    <t>1990→95</t>
    <phoneticPr fontId="4"/>
  </si>
  <si>
    <t>1995→00</t>
    <phoneticPr fontId="4"/>
  </si>
  <si>
    <t>2000→05</t>
    <phoneticPr fontId="4"/>
  </si>
  <si>
    <t>2005→10</t>
    <phoneticPr fontId="4"/>
  </si>
  <si>
    <t>2010→15</t>
    <phoneticPr fontId="4"/>
  </si>
  <si>
    <t>コーホート変化率： (従事者のコーホート変化数)÷(前期の1つ下の年齢階級別従事者数)</t>
    <rPh sb="5" eb="7">
      <t>ヘンカ</t>
    </rPh>
    <rPh sb="7" eb="8">
      <t>リツ</t>
    </rPh>
    <rPh sb="11" eb="14">
      <t>ジュウジシャ</t>
    </rPh>
    <phoneticPr fontId="4"/>
  </si>
  <si>
    <t>1980→85</t>
    <phoneticPr fontId="4"/>
  </si>
  <si>
    <t>1985→90</t>
    <phoneticPr fontId="4"/>
  </si>
  <si>
    <t>1990→95</t>
    <phoneticPr fontId="4"/>
  </si>
  <si>
    <t>1995→00</t>
    <phoneticPr fontId="4"/>
  </si>
  <si>
    <t>2000→05</t>
    <phoneticPr fontId="4"/>
  </si>
  <si>
    <t>2005→10</t>
    <phoneticPr fontId="4"/>
  </si>
  <si>
    <t>コーホート変化率の経年変動（1985→90年の変化率=100）</t>
    <rPh sb="5" eb="7">
      <t>ヘンカ</t>
    </rPh>
    <rPh sb="7" eb="8">
      <t>リツ</t>
    </rPh>
    <rPh sb="9" eb="11">
      <t>ケイネン</t>
    </rPh>
    <rPh sb="11" eb="13">
      <t>ヘンドウ</t>
    </rPh>
    <rPh sb="21" eb="22">
      <t>ネン</t>
    </rPh>
    <rPh sb="23" eb="25">
      <t>ヘンカ</t>
    </rPh>
    <rPh sb="25" eb="26">
      <t>リツ</t>
    </rPh>
    <phoneticPr fontId="4"/>
  </si>
  <si>
    <t>1995→00</t>
    <phoneticPr fontId="4"/>
  </si>
  <si>
    <t>2010→15</t>
    <phoneticPr fontId="4"/>
  </si>
  <si>
    <t>対当期人口比： (当期の従事者数)÷(当期の人口)</t>
    <rPh sb="0" eb="1">
      <t>タイ</t>
    </rPh>
    <rPh sb="1" eb="3">
      <t>トウキ</t>
    </rPh>
    <rPh sb="3" eb="6">
      <t>ジンコウヒ</t>
    </rPh>
    <rPh sb="9" eb="11">
      <t>トウキ</t>
    </rPh>
    <rPh sb="12" eb="15">
      <t>ジュウジシャ</t>
    </rPh>
    <rPh sb="15" eb="16">
      <t>スウ</t>
    </rPh>
    <rPh sb="19" eb="21">
      <t>トウキ</t>
    </rPh>
    <rPh sb="22" eb="24">
      <t>ジンコウ</t>
    </rPh>
    <phoneticPr fontId="4"/>
  </si>
  <si>
    <t>コーホート変化数の対前期人口コーホート比： (従事者のコーホート変化数)÷(前期の1つ下の年齢階級別人口)（プラス値のみ表示）</t>
    <rPh sb="5" eb="7">
      <t>ヘンカ</t>
    </rPh>
    <rPh sb="7" eb="8">
      <t>スウ</t>
    </rPh>
    <rPh sb="9" eb="10">
      <t>タイ</t>
    </rPh>
    <rPh sb="10" eb="12">
      <t>ゼンキ</t>
    </rPh>
    <rPh sb="12" eb="14">
      <t>ジンコウ</t>
    </rPh>
    <rPh sb="19" eb="20">
      <t>ヒ</t>
    </rPh>
    <rPh sb="38" eb="40">
      <t>ゼンキ</t>
    </rPh>
    <rPh sb="43" eb="44">
      <t>シタ</t>
    </rPh>
    <rPh sb="45" eb="47">
      <t>ネンレイ</t>
    </rPh>
    <rPh sb="47" eb="49">
      <t>カイキュウ</t>
    </rPh>
    <rPh sb="49" eb="50">
      <t>ベツ</t>
    </rPh>
    <rPh sb="50" eb="52">
      <t>ジンコウ</t>
    </rPh>
    <rPh sb="57" eb="58">
      <t>アタイ</t>
    </rPh>
    <rPh sb="60" eb="62">
      <t>ヒョウジ</t>
    </rPh>
    <phoneticPr fontId="4"/>
  </si>
  <si>
    <t>1980→85</t>
    <phoneticPr fontId="4"/>
  </si>
  <si>
    <t>2000→05</t>
    <phoneticPr fontId="4"/>
  </si>
  <si>
    <t>（資料）「国勢調査」各年</t>
    <rPh sb="10" eb="12">
      <t>カクネン</t>
    </rPh>
    <phoneticPr fontId="4"/>
  </si>
  <si>
    <t>　（注）・従事者数の「総数」は、年齢階級別従事者数の合計であり、統計における総数とはわずかに相違する年がある。</t>
    <rPh sb="2" eb="3">
      <t>チュウ</t>
    </rPh>
    <rPh sb="5" eb="8">
      <t>ジュウジシャ</t>
    </rPh>
    <rPh sb="8" eb="9">
      <t>スウ</t>
    </rPh>
    <rPh sb="11" eb="13">
      <t>ソウスウ</t>
    </rPh>
    <rPh sb="16" eb="18">
      <t>ネンレイ</t>
    </rPh>
    <rPh sb="18" eb="20">
      <t>カイキュウ</t>
    </rPh>
    <rPh sb="20" eb="21">
      <t>ベツ</t>
    </rPh>
    <rPh sb="21" eb="24">
      <t>ジュウジシャ</t>
    </rPh>
    <rPh sb="24" eb="25">
      <t>スウ</t>
    </rPh>
    <rPh sb="26" eb="28">
      <t>ゴウケイ</t>
    </rPh>
    <rPh sb="32" eb="34">
      <t>トウケイ</t>
    </rPh>
    <rPh sb="38" eb="40">
      <t>ソウスウ</t>
    </rPh>
    <rPh sb="46" eb="48">
      <t>ソウイ</t>
    </rPh>
    <rPh sb="50" eb="51">
      <t>ネン</t>
    </rPh>
    <phoneticPr fontId="4"/>
  </si>
  <si>
    <t>　　　　・従事者のコーホート変化数・変化率・経年変動の「総数」は、従事者総数についての計算値。</t>
    <rPh sb="5" eb="8">
      <t>ジュウジシャ</t>
    </rPh>
    <rPh sb="14" eb="16">
      <t>ヘンカ</t>
    </rPh>
    <rPh sb="16" eb="17">
      <t>スウ</t>
    </rPh>
    <rPh sb="18" eb="20">
      <t>ヘンカ</t>
    </rPh>
    <rPh sb="20" eb="21">
      <t>リツ</t>
    </rPh>
    <rPh sb="22" eb="24">
      <t>ケイネン</t>
    </rPh>
    <rPh sb="24" eb="26">
      <t>ヘンドウ</t>
    </rPh>
    <rPh sb="28" eb="30">
      <t>ソウスウ</t>
    </rPh>
    <rPh sb="33" eb="36">
      <t>ジュウジシャ</t>
    </rPh>
    <rPh sb="36" eb="38">
      <t>ソウスウ</t>
    </rPh>
    <rPh sb="43" eb="46">
      <t>ケイサンチ</t>
    </rPh>
    <phoneticPr fontId="4"/>
  </si>
  <si>
    <t>　　　　・平均年齢は、年齢階級の中央値（17歳, 22歳, ...）で算出した。また、年齢階級75歳以上には77歳をあてたので、</t>
    <rPh sb="5" eb="7">
      <t>ヘイキン</t>
    </rPh>
    <rPh sb="7" eb="9">
      <t>ネンレイ</t>
    </rPh>
    <rPh sb="11" eb="13">
      <t>ネンレイ</t>
    </rPh>
    <rPh sb="13" eb="15">
      <t>カイキュウ</t>
    </rPh>
    <rPh sb="16" eb="18">
      <t>チュウオウ</t>
    </rPh>
    <rPh sb="18" eb="19">
      <t>アタイ</t>
    </rPh>
    <rPh sb="22" eb="23">
      <t>サイ</t>
    </rPh>
    <rPh sb="27" eb="28">
      <t>サイ</t>
    </rPh>
    <rPh sb="35" eb="37">
      <t>サンシュツ</t>
    </rPh>
    <rPh sb="43" eb="45">
      <t>ネンレイ</t>
    </rPh>
    <rPh sb="45" eb="47">
      <t>カイキュウ</t>
    </rPh>
    <rPh sb="56" eb="57">
      <t>サイ</t>
    </rPh>
    <phoneticPr fontId="4"/>
  </si>
  <si>
    <t>　　　　　元の国勢調査の年齢階級（75～79歳・80～84歳・85歳以上）で算出される平均年齢よりやや小さい値となる。</t>
    <rPh sb="5" eb="6">
      <t>モト</t>
    </rPh>
    <rPh sb="7" eb="9">
      <t>コクセイ</t>
    </rPh>
    <rPh sb="9" eb="11">
      <t>チョウサ</t>
    </rPh>
    <rPh sb="12" eb="14">
      <t>ネンレイ</t>
    </rPh>
    <rPh sb="14" eb="16">
      <t>カイキュウ</t>
    </rPh>
    <rPh sb="22" eb="23">
      <t>サイ</t>
    </rPh>
    <rPh sb="29" eb="30">
      <t>サイ</t>
    </rPh>
    <rPh sb="33" eb="34">
      <t>サイ</t>
    </rPh>
    <rPh sb="34" eb="36">
      <t>イジョウ</t>
    </rPh>
    <rPh sb="38" eb="40">
      <t>サンシュツ</t>
    </rPh>
    <rPh sb="43" eb="45">
      <t>ヘイキン</t>
    </rPh>
    <rPh sb="45" eb="47">
      <t>ネンレイ</t>
    </rPh>
    <rPh sb="51" eb="52">
      <t>チイ</t>
    </rPh>
    <rPh sb="54" eb="55">
      <t>アタイ</t>
    </rPh>
    <phoneticPr fontId="4"/>
  </si>
  <si>
    <t>↓以下は隠し列</t>
    <rPh sb="1" eb="3">
      <t>イカ</t>
    </rPh>
    <rPh sb="4" eb="5">
      <t>カク</t>
    </rPh>
    <rPh sb="6" eb="7">
      <t>レツ</t>
    </rPh>
    <phoneticPr fontId="4"/>
  </si>
  <si>
    <t>（資料）「国勢調査」</t>
    <rPh sb="5" eb="7">
      <t>コクセイ</t>
    </rPh>
    <rPh sb="7" eb="9">
      <t>チョウサ</t>
    </rPh>
    <phoneticPr fontId="4"/>
  </si>
  <si>
    <t>　（注）年齢不詳の人口は、年齢階級別構成比に応じて各年齢階級に按分した。</t>
    <rPh sb="2" eb="3">
      <t>チュウ</t>
    </rPh>
    <rPh sb="4" eb="6">
      <t>ネンレイ</t>
    </rPh>
    <rPh sb="6" eb="8">
      <t>フショウ</t>
    </rPh>
    <rPh sb="9" eb="11">
      <t>ジンコウ</t>
    </rPh>
    <rPh sb="13" eb="15">
      <t>ネンレイ</t>
    </rPh>
    <rPh sb="15" eb="17">
      <t>カイキュウ</t>
    </rPh>
    <rPh sb="17" eb="18">
      <t>ベツ</t>
    </rPh>
    <rPh sb="18" eb="20">
      <t>コウセイ</t>
    </rPh>
    <rPh sb="20" eb="21">
      <t>ヒ</t>
    </rPh>
    <rPh sb="22" eb="23">
      <t>オウ</t>
    </rPh>
    <rPh sb="25" eb="26">
      <t>カク</t>
    </rPh>
    <rPh sb="26" eb="28">
      <t>ネンレイ</t>
    </rPh>
    <rPh sb="28" eb="30">
      <t>カイキュウ</t>
    </rPh>
    <rPh sb="31" eb="33">
      <t>アンブン</t>
    </rPh>
    <phoneticPr fontId="4"/>
  </si>
  <si>
    <t>Table 2　年齢階級別林業従事者数（全国）の推移とコーホート変化</t>
    <rPh sb="8" eb="10">
      <t>ネンレイ</t>
    </rPh>
    <rPh sb="10" eb="12">
      <t>カイキュウ</t>
    </rPh>
    <rPh sb="12" eb="13">
      <t>ベツ</t>
    </rPh>
    <rPh sb="13" eb="15">
      <t>リンギョウ</t>
    </rPh>
    <rPh sb="15" eb="18">
      <t>ジュウジシャ</t>
    </rPh>
    <rPh sb="18" eb="19">
      <t>スウ</t>
    </rPh>
    <rPh sb="20" eb="22">
      <t>ゼンコク</t>
    </rPh>
    <rPh sb="24" eb="26">
      <t>スイイ</t>
    </rPh>
    <rPh sb="32" eb="34">
      <t>ヘンカ</t>
    </rPh>
    <phoneticPr fontId="4"/>
  </si>
  <si>
    <t>Table 3　年齢階級別林業従事者数（全国）の将来推計結果 (2015年は統計値、2020年以降は推計値)</t>
    <phoneticPr fontId="4"/>
  </si>
  <si>
    <t>全国</t>
    <rPh sb="0" eb="2">
      <t>ゼンコク</t>
    </rPh>
    <phoneticPr fontId="4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</si>
  <si>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</si>
  <si>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</si>
  <si>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北陸</t>
    <rPh sb="0" eb="2">
      <t>ホクリク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</si>
  <si>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</si>
  <si>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</si>
  <si>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</si>
  <si>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</si>
  <si>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</si>
  <si>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</si>
  <si>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（2015年を100とした指数）</t>
    <rPh sb="5" eb="6">
      <t>ネン</t>
    </rPh>
    <rPh sb="13" eb="15">
      <t>シスウ</t>
    </rPh>
    <phoneticPr fontId="4"/>
  </si>
  <si>
    <t>平均年齢（歳）</t>
    <rPh sb="0" eb="2">
      <t>ヘイキン</t>
    </rPh>
    <rPh sb="2" eb="4">
      <t>ネンレイ</t>
    </rPh>
    <rPh sb="5" eb="6">
      <t>サイ</t>
    </rPh>
    <phoneticPr fontId="4"/>
  </si>
  <si>
    <t>（対当期人口比）</t>
    <rPh sb="1" eb="2">
      <t>タイ</t>
    </rPh>
    <rPh sb="2" eb="4">
      <t>トウキ</t>
    </rPh>
    <rPh sb="4" eb="6">
      <t>ジンコウ</t>
    </rPh>
    <rPh sb="6" eb="7">
      <t>ヒ</t>
    </rPh>
    <phoneticPr fontId="4"/>
  </si>
  <si>
    <t>15～19歳</t>
  </si>
  <si>
    <t>20～24歳</t>
  </si>
  <si>
    <t>（プラス値：従事者変化数の対コーホート人口比、マイナス値：コーホート変化率）</t>
    <rPh sb="4" eb="5">
      <t>アタイ</t>
    </rPh>
    <rPh sb="6" eb="9">
      <t>ジュウジシャ</t>
    </rPh>
    <rPh sb="9" eb="11">
      <t>ヘンカ</t>
    </rPh>
    <rPh sb="11" eb="12">
      <t>スウ</t>
    </rPh>
    <rPh sb="13" eb="14">
      <t>タイ</t>
    </rPh>
    <rPh sb="19" eb="21">
      <t>ジンコウ</t>
    </rPh>
    <rPh sb="21" eb="22">
      <t>ヒ</t>
    </rPh>
    <rPh sb="27" eb="28">
      <t>アタイ</t>
    </rPh>
    <rPh sb="34" eb="36">
      <t>ヘンカ</t>
    </rPh>
    <rPh sb="36" eb="37">
      <t>リツ</t>
    </rPh>
    <phoneticPr fontId="4"/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</si>
  <si>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</si>
  <si>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</si>
  <si>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</si>
  <si>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</si>
  <si>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</si>
  <si>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</si>
  <si>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</si>
  <si>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</si>
  <si>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</si>
  <si>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</si>
  <si>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（資料）「国勢調査」各年、筆者推計</t>
    <rPh sb="10" eb="12">
      <t>カクネン</t>
    </rPh>
    <phoneticPr fontId="4"/>
  </si>
  <si>
    <t>　（注）・地域区分のうち、中部は山梨・長野・岐阜・静岡・愛知・三重の各県とし、沖縄県は九州に含めた。</t>
    <rPh sb="2" eb="3">
      <t>チュウ</t>
    </rPh>
    <rPh sb="5" eb="7">
      <t>チイキ</t>
    </rPh>
    <rPh sb="7" eb="9">
      <t>クブン</t>
    </rPh>
    <rPh sb="13" eb="15">
      <t>チュウブ</t>
    </rPh>
    <rPh sb="16" eb="18">
      <t>ヤマナシ</t>
    </rPh>
    <rPh sb="19" eb="21">
      <t>ナガノ</t>
    </rPh>
    <rPh sb="22" eb="24">
      <t>ギフ</t>
    </rPh>
    <rPh sb="25" eb="27">
      <t>シズオカ</t>
    </rPh>
    <rPh sb="28" eb="30">
      <t>アイチ</t>
    </rPh>
    <rPh sb="31" eb="33">
      <t>ミエ</t>
    </rPh>
    <rPh sb="34" eb="36">
      <t>カクケン</t>
    </rPh>
    <rPh sb="39" eb="41">
      <t>オキナワ</t>
    </rPh>
    <rPh sb="41" eb="42">
      <t>ケン</t>
    </rPh>
    <rPh sb="43" eb="45">
      <t>キュウシュウ</t>
    </rPh>
    <rPh sb="46" eb="47">
      <t>フク</t>
    </rPh>
    <phoneticPr fontId="4"/>
  </si>
  <si>
    <t>　　　　・2015年までの全国および各地域の値は、それぞれ年齢階級別従事者数の合計であり、統計における</t>
    <rPh sb="9" eb="10">
      <t>ネン</t>
    </rPh>
    <rPh sb="13" eb="15">
      <t>ゼンコク</t>
    </rPh>
    <rPh sb="18" eb="19">
      <t>カク</t>
    </rPh>
    <rPh sb="19" eb="21">
      <t>チイキ</t>
    </rPh>
    <rPh sb="22" eb="23">
      <t>アタイ</t>
    </rPh>
    <rPh sb="29" eb="31">
      <t>ネンレイ</t>
    </rPh>
    <rPh sb="31" eb="33">
      <t>カイキュウ</t>
    </rPh>
    <rPh sb="33" eb="34">
      <t>ベツ</t>
    </rPh>
    <rPh sb="34" eb="37">
      <t>ジュウジシャ</t>
    </rPh>
    <rPh sb="37" eb="38">
      <t>スウ</t>
    </rPh>
    <rPh sb="39" eb="41">
      <t>ゴウケイ</t>
    </rPh>
    <phoneticPr fontId="4"/>
  </si>
  <si>
    <t>　　　　　総数とはわずかに相違する年がある。そのため、全国値と各地域別の値の合計は一致しない年がある。</t>
    <rPh sb="13" eb="15">
      <t>ソウイ</t>
    </rPh>
    <rPh sb="17" eb="18">
      <t>ネン</t>
    </rPh>
    <phoneticPr fontId="4"/>
  </si>
  <si>
    <t>　　　　・2020年以降の全国推計値と各地域別推計値の合計は、計算上の理由により一致しない。</t>
    <rPh sb="9" eb="10">
      <t>ネン</t>
    </rPh>
    <rPh sb="10" eb="12">
      <t>イコウ</t>
    </rPh>
    <rPh sb="13" eb="15">
      <t>ゼンコク</t>
    </rPh>
    <rPh sb="15" eb="18">
      <t>スイケイチ</t>
    </rPh>
    <rPh sb="19" eb="22">
      <t>カクチイキ</t>
    </rPh>
    <rPh sb="22" eb="23">
      <t>ベツ</t>
    </rPh>
    <rPh sb="23" eb="26">
      <t>スイケイチ</t>
    </rPh>
    <rPh sb="27" eb="29">
      <t>ゴウケイ</t>
    </rPh>
    <rPh sb="31" eb="33">
      <t>ケイサン</t>
    </rPh>
    <rPh sb="33" eb="34">
      <t>ウエ</t>
    </rPh>
    <rPh sb="35" eb="37">
      <t>リユウ</t>
    </rPh>
    <rPh sb="40" eb="42">
      <t>イッチ</t>
    </rPh>
    <phoneticPr fontId="4"/>
  </si>
  <si>
    <t>Table 4　林業従事者数の地域別将来推計結果 (2015年まで統計値、2020年以降は推計値)</t>
    <rPh sb="8" eb="10">
      <t>リンギョウ</t>
    </rPh>
    <rPh sb="10" eb="13">
      <t>ジュウジシャ</t>
    </rPh>
    <rPh sb="13" eb="14">
      <t>スウ</t>
    </rPh>
    <rPh sb="15" eb="17">
      <t>チイキ</t>
    </rPh>
    <rPh sb="17" eb="18">
      <t>ベツ</t>
    </rPh>
    <rPh sb="18" eb="20">
      <t>ショウライ</t>
    </rPh>
    <rPh sb="20" eb="22">
      <t>スイケイ</t>
    </rPh>
    <rPh sb="22" eb="24">
      <t>ケッカ</t>
    </rPh>
    <rPh sb="30" eb="31">
      <t>ネン</t>
    </rPh>
    <rPh sb="33" eb="35">
      <t>トウケイ</t>
    </rPh>
    <rPh sb="35" eb="36">
      <t>チ</t>
    </rPh>
    <rPh sb="41" eb="42">
      <t>ネン</t>
    </rPh>
    <rPh sb="42" eb="44">
      <t>イコウ</t>
    </rPh>
    <rPh sb="45" eb="48">
      <t>スイケイチ</t>
    </rPh>
    <phoneticPr fontId="4"/>
  </si>
  <si>
    <t>住宅着工戸数</t>
    <rPh sb="0" eb="2">
      <t>ジュウタク</t>
    </rPh>
    <rPh sb="2" eb="4">
      <t>チャッコウ</t>
    </rPh>
    <rPh sb="4" eb="6">
      <t>コスウ</t>
    </rPh>
    <phoneticPr fontId="4"/>
  </si>
  <si>
    <t>平均床面積 (着工住宅)</t>
    <rPh sb="0" eb="2">
      <t>ヘイキン</t>
    </rPh>
    <rPh sb="2" eb="5">
      <t>ユカメンセキ</t>
    </rPh>
    <phoneticPr fontId="4"/>
  </si>
  <si>
    <t>住宅着工床面積</t>
  </si>
  <si>
    <t>木造率
(着工住宅，戸数ベース)</t>
    <rPh sb="0" eb="2">
      <t>モクゾウ</t>
    </rPh>
    <rPh sb="2" eb="3">
      <t>リツ</t>
    </rPh>
    <phoneticPr fontId="4"/>
  </si>
  <si>
    <t>紙・板紙生産量</t>
    <rPh sb="0" eb="1">
      <t>カミ</t>
    </rPh>
    <rPh sb="2" eb="4">
      <t>イタガミ</t>
    </rPh>
    <rPh sb="4" eb="6">
      <t>セイサン</t>
    </rPh>
    <rPh sb="6" eb="7">
      <t>リョウ</t>
    </rPh>
    <phoneticPr fontId="4"/>
  </si>
  <si>
    <t>古紙利用率</t>
    <rPh sb="0" eb="2">
      <t>コシ</t>
    </rPh>
    <rPh sb="2" eb="5">
      <t>リヨウリツ</t>
    </rPh>
    <phoneticPr fontId="4"/>
  </si>
  <si>
    <t>パルプ・チップ用材</t>
    <rPh sb="7" eb="9">
      <t>ヨウザイ</t>
    </rPh>
    <phoneticPr fontId="4"/>
  </si>
  <si>
    <t>バイオマス発電設備
未利用木質</t>
    <rPh sb="10" eb="13">
      <t>ミリヨウ</t>
    </rPh>
    <rPh sb="13" eb="15">
      <t>モクシツ</t>
    </rPh>
    <phoneticPr fontId="9"/>
  </si>
  <si>
    <t>燃料材</t>
    <rPh sb="0" eb="2">
      <t>ネンリョウ</t>
    </rPh>
    <rPh sb="2" eb="3">
      <t>ザイ</t>
    </rPh>
    <phoneticPr fontId="10"/>
  </si>
  <si>
    <t>しいたけ原木の需要量</t>
    <rPh sb="4" eb="6">
      <t>ゲンボク</t>
    </rPh>
    <rPh sb="7" eb="9">
      <t>ジュヨウ</t>
    </rPh>
    <rPh sb="9" eb="10">
      <t>リョウ</t>
    </rPh>
    <phoneticPr fontId="10"/>
  </si>
  <si>
    <t>国産材需要量</t>
    <rPh sb="0" eb="3">
      <t>コクサンザイ</t>
    </rPh>
    <rPh sb="3" eb="5">
      <t>ジュヨウ</t>
    </rPh>
    <rPh sb="5" eb="6">
      <t>リョウ</t>
    </rPh>
    <phoneticPr fontId="10"/>
  </si>
  <si>
    <t>需要量</t>
  </si>
  <si>
    <t>自給率</t>
    <phoneticPr fontId="4"/>
  </si>
  <si>
    <t>国産材需要量</t>
    <phoneticPr fontId="4"/>
  </si>
  <si>
    <t>認定容量(年度末)</t>
    <phoneticPr fontId="4"/>
  </si>
  <si>
    <t>導入容量(年度末)</t>
    <phoneticPr fontId="4"/>
  </si>
  <si>
    <t>導入率</t>
    <phoneticPr fontId="4"/>
  </si>
  <si>
    <t>(千戸)</t>
    <rPh sb="1" eb="2">
      <t>セン</t>
    </rPh>
    <rPh sb="2" eb="3">
      <t>ト</t>
    </rPh>
    <phoneticPr fontId="4"/>
  </si>
  <si>
    <t>(%)</t>
    <phoneticPr fontId="4"/>
  </si>
  <si>
    <t>(百万t)</t>
    <rPh sb="1" eb="3">
      <t>ヒャクマン</t>
    </rPh>
    <phoneticPr fontId="4"/>
  </si>
  <si>
    <t>(千kW)</t>
    <rPh sb="1" eb="2">
      <t>セン</t>
    </rPh>
    <phoneticPr fontId="9"/>
  </si>
  <si>
    <t>実績値</t>
    <rPh sb="0" eb="3">
      <t>ジッセキチ</t>
    </rPh>
    <phoneticPr fontId="4"/>
  </si>
  <si>
    <t>資料</t>
    <rPh sb="0" eb="2">
      <t>シリョウ</t>
    </rPh>
    <phoneticPr fontId="4"/>
  </si>
  <si>
    <t>住宅着工統計</t>
    <rPh sb="0" eb="2">
      <t>ジュウタク</t>
    </rPh>
    <rPh sb="2" eb="4">
      <t>チャッコウ</t>
    </rPh>
    <rPh sb="4" eb="6">
      <t>トウケイ</t>
    </rPh>
    <phoneticPr fontId="4"/>
  </si>
  <si>
    <t>同左</t>
    <rPh sb="0" eb="1">
      <t>ドウ</t>
    </rPh>
    <rPh sb="1" eb="2">
      <t>ヒダリ</t>
    </rPh>
    <phoneticPr fontId="4"/>
  </si>
  <si>
    <t>木材需給表</t>
    <rPh sb="0" eb="2">
      <t>モクザイ</t>
    </rPh>
    <rPh sb="2" eb="4">
      <t>ジュキュウ</t>
    </rPh>
    <rPh sb="4" eb="5">
      <t>オモテ</t>
    </rPh>
    <phoneticPr fontId="4"/>
  </si>
  <si>
    <t>経済産業省生産動態統計</t>
    <rPh sb="0" eb="2">
      <t>ケイザイ</t>
    </rPh>
    <rPh sb="2" eb="5">
      <t>サンギョウショウ</t>
    </rPh>
    <phoneticPr fontId="4"/>
  </si>
  <si>
    <t>資源エネルギー庁</t>
    <rPh sb="0" eb="2">
      <t>シゲン</t>
    </rPh>
    <rPh sb="7" eb="8">
      <t>チョウ</t>
    </rPh>
    <phoneticPr fontId="9"/>
  </si>
  <si>
    <t>認定容量÷導入容量</t>
    <rPh sb="0" eb="2">
      <t>ニンテイ</t>
    </rPh>
    <rPh sb="2" eb="4">
      <t>ヨウリョウ</t>
    </rPh>
    <rPh sb="5" eb="7">
      <t>ドウニュウ</t>
    </rPh>
    <rPh sb="7" eb="9">
      <t>ヨウリョウ</t>
    </rPh>
    <phoneticPr fontId="4"/>
  </si>
  <si>
    <t>木材需給表</t>
    <rPh sb="0" eb="2">
      <t>モクザイ</t>
    </rPh>
    <rPh sb="2" eb="4">
      <t>ジュキュウ</t>
    </rPh>
    <rPh sb="4" eb="5">
      <t>オモテ</t>
    </rPh>
    <phoneticPr fontId="9"/>
  </si>
  <si>
    <t>想定値</t>
    <rPh sb="0" eb="2">
      <t>ソウテイ</t>
    </rPh>
    <rPh sb="2" eb="3">
      <t>アタイ</t>
    </rPh>
    <phoneticPr fontId="4"/>
  </si>
  <si>
    <t>(a)</t>
    <phoneticPr fontId="4"/>
  </si>
  <si>
    <t>(b)</t>
    <phoneticPr fontId="4"/>
  </si>
  <si>
    <t>(c)</t>
    <phoneticPr fontId="4"/>
  </si>
  <si>
    <t>(d)</t>
    <phoneticPr fontId="4"/>
  </si>
  <si>
    <t>(e)</t>
    <phoneticPr fontId="4"/>
  </si>
  <si>
    <t>(f)</t>
    <phoneticPr fontId="4"/>
  </si>
  <si>
    <t>(g)</t>
    <phoneticPr fontId="4"/>
  </si>
  <si>
    <t>(h)</t>
    <phoneticPr fontId="4"/>
  </si>
  <si>
    <t>(i)</t>
    <phoneticPr fontId="4"/>
  </si>
  <si>
    <t>(j)</t>
    <phoneticPr fontId="4"/>
  </si>
  <si>
    <t>(k)</t>
    <phoneticPr fontId="4"/>
  </si>
  <si>
    <t>(l)</t>
    <phoneticPr fontId="4"/>
  </si>
  <si>
    <t>(m)</t>
    <phoneticPr fontId="4"/>
  </si>
  <si>
    <t>(n)</t>
    <phoneticPr fontId="4"/>
  </si>
  <si>
    <t>(o)</t>
    <phoneticPr fontId="4"/>
  </si>
  <si>
    <t>(p)</t>
    <phoneticPr fontId="4"/>
  </si>
  <si>
    <t>(q)</t>
    <phoneticPr fontId="4"/>
  </si>
  <si>
    <t>(r)</t>
    <phoneticPr fontId="4"/>
  </si>
  <si>
    <t>算出方法</t>
    <rPh sb="0" eb="2">
      <t>サンシュツ</t>
    </rPh>
    <rPh sb="2" eb="4">
      <t>ホウホウ</t>
    </rPh>
    <phoneticPr fontId="4"/>
  </si>
  <si>
    <t>※1</t>
    <phoneticPr fontId="4"/>
  </si>
  <si>
    <t>設定値</t>
    <rPh sb="0" eb="3">
      <t>セッテイチ</t>
    </rPh>
    <phoneticPr fontId="4"/>
  </si>
  <si>
    <t>a*b</t>
    <phoneticPr fontId="4"/>
  </si>
  <si>
    <t>※2 ※7</t>
    <phoneticPr fontId="4"/>
  </si>
  <si>
    <t>※3 ※7</t>
    <phoneticPr fontId="4"/>
  </si>
  <si>
    <t>e*f</t>
    <phoneticPr fontId="4"/>
  </si>
  <si>
    <t>※4</t>
    <phoneticPr fontId="4"/>
  </si>
  <si>
    <t>※5</t>
    <phoneticPr fontId="4"/>
  </si>
  <si>
    <t>※6 ※7</t>
    <phoneticPr fontId="4"/>
  </si>
  <si>
    <t>j*k</t>
    <phoneticPr fontId="4"/>
  </si>
  <si>
    <t>m2017年*o</t>
    <rPh sb="5" eb="6">
      <t>ネン</t>
    </rPh>
    <phoneticPr fontId="4"/>
  </si>
  <si>
    <t>※8</t>
    <phoneticPr fontId="4"/>
  </si>
  <si>
    <t>※9</t>
    <phoneticPr fontId="4"/>
  </si>
  <si>
    <t>g+l+p+q</t>
    <phoneticPr fontId="4"/>
  </si>
  <si>
    <t>（資料）「住宅着工統計」、「木材需給表」、「経済産業省生産動態統計」、資源エネルギー庁</t>
    <rPh sb="1" eb="3">
      <t>シリョウ</t>
    </rPh>
    <rPh sb="5" eb="7">
      <t>ジュウタク</t>
    </rPh>
    <rPh sb="7" eb="9">
      <t>チャッコウ</t>
    </rPh>
    <rPh sb="9" eb="11">
      <t>トウケイ</t>
    </rPh>
    <rPh sb="14" eb="16">
      <t>モクザイ</t>
    </rPh>
    <rPh sb="16" eb="18">
      <t>ジュキュウ</t>
    </rPh>
    <rPh sb="18" eb="19">
      <t>オモテ</t>
    </rPh>
    <rPh sb="22" eb="24">
      <t>ケイザイ</t>
    </rPh>
    <rPh sb="24" eb="27">
      <t>サンギョウショウ</t>
    </rPh>
    <rPh sb="27" eb="29">
      <t>セイサン</t>
    </rPh>
    <rPh sb="29" eb="31">
      <t>ドウタイ</t>
    </rPh>
    <rPh sb="31" eb="33">
      <t>トウケイ</t>
    </rPh>
    <rPh sb="35" eb="37">
      <t>シゲン</t>
    </rPh>
    <rPh sb="42" eb="43">
      <t>チョウ</t>
    </rPh>
    <phoneticPr fontId="4"/>
  </si>
  <si>
    <t>（注）※1：住宅着工戸数は、2030年を700千戸として補間</t>
    <rPh sb="1" eb="2">
      <t>チュウ</t>
    </rPh>
    <rPh sb="6" eb="8">
      <t>ジュウタク</t>
    </rPh>
    <rPh sb="8" eb="10">
      <t>チャッコウ</t>
    </rPh>
    <rPh sb="10" eb="12">
      <t>コスウ</t>
    </rPh>
    <rPh sb="18" eb="19">
      <t>ネン</t>
    </rPh>
    <rPh sb="23" eb="24">
      <t>チ</t>
    </rPh>
    <rPh sb="24" eb="25">
      <t>コ</t>
    </rPh>
    <rPh sb="28" eb="30">
      <t>ホカン</t>
    </rPh>
    <phoneticPr fontId="4"/>
  </si>
  <si>
    <t>　　　※3：製材＋合板＋その他用用材の自給率は、0.0135*年+0.1958 で算出</t>
    <rPh sb="19" eb="22">
      <t>ジキュウリツ</t>
    </rPh>
    <rPh sb="41" eb="43">
      <t>サンシュツ</t>
    </rPh>
    <phoneticPr fontId="4"/>
  </si>
  <si>
    <t>　　　※4：紙・板紙生産量は、紙・板紙需要予測（みずほ銀行産業調査部 2018）を補間・延長</t>
    <rPh sb="6" eb="7">
      <t>カミ</t>
    </rPh>
    <rPh sb="8" eb="10">
      <t>イタガミ</t>
    </rPh>
    <rPh sb="10" eb="12">
      <t>セイサン</t>
    </rPh>
    <rPh sb="12" eb="13">
      <t>リョウ</t>
    </rPh>
    <rPh sb="15" eb="16">
      <t>カミ</t>
    </rPh>
    <rPh sb="17" eb="19">
      <t>イタガミ</t>
    </rPh>
    <rPh sb="19" eb="21">
      <t>ジュヨウ</t>
    </rPh>
    <rPh sb="21" eb="23">
      <t>ヨソク</t>
    </rPh>
    <rPh sb="41" eb="43">
      <t>ホカン</t>
    </rPh>
    <rPh sb="44" eb="46">
      <t>エンチョウ</t>
    </rPh>
    <phoneticPr fontId="4"/>
  </si>
  <si>
    <t>　　　※5：古紙利用率は、2020年に65%に達して以降一定と想定</t>
    <rPh sb="6" eb="8">
      <t>コシ</t>
    </rPh>
    <rPh sb="8" eb="11">
      <t>リヨウリツ</t>
    </rPh>
    <rPh sb="17" eb="18">
      <t>ネン</t>
    </rPh>
    <rPh sb="23" eb="24">
      <t>タッ</t>
    </rPh>
    <rPh sb="26" eb="28">
      <t>イコウ</t>
    </rPh>
    <rPh sb="28" eb="30">
      <t>イッテイ</t>
    </rPh>
    <rPh sb="31" eb="33">
      <t>ソウテイ</t>
    </rPh>
    <phoneticPr fontId="4"/>
  </si>
  <si>
    <t>　　　※7：2017年値が合うように水準を調整</t>
    <rPh sb="18" eb="20">
      <t>スイジュン</t>
    </rPh>
    <phoneticPr fontId="4"/>
  </si>
  <si>
    <t>　　　※8：バイオマス発電設備（未利用木質）の導入率は、2021年に100%と想定して補間</t>
    <rPh sb="23" eb="25">
      <t>ドウニュウ</t>
    </rPh>
    <rPh sb="25" eb="26">
      <t>リツ</t>
    </rPh>
    <rPh sb="32" eb="33">
      <t>ネン</t>
    </rPh>
    <rPh sb="39" eb="41">
      <t>ソウテイ</t>
    </rPh>
    <rPh sb="43" eb="45">
      <t>ホカン</t>
    </rPh>
    <phoneticPr fontId="4"/>
  </si>
  <si>
    <t>Table 5　国産材需要（表右端）とその説明用変数の実績値と想定値</t>
    <rPh sb="8" eb="11">
      <t>コクサンザイ</t>
    </rPh>
    <rPh sb="11" eb="13">
      <t>ジュヨウ</t>
    </rPh>
    <rPh sb="14" eb="15">
      <t>オモテ</t>
    </rPh>
    <rPh sb="15" eb="17">
      <t>ウタン</t>
    </rPh>
    <rPh sb="21" eb="24">
      <t>セツメイヨウ</t>
    </rPh>
    <rPh sb="24" eb="26">
      <t>ヘンスウ</t>
    </rPh>
    <rPh sb="27" eb="30">
      <t>ジッセキチ</t>
    </rPh>
    <rPh sb="31" eb="33">
      <t>ソウテイ</t>
    </rPh>
    <rPh sb="33" eb="34">
      <t>チ</t>
    </rPh>
    <phoneticPr fontId="4"/>
  </si>
  <si>
    <t>齢級</t>
    <rPh sb="0" eb="1">
      <t>レイ</t>
    </rPh>
    <rPh sb="1" eb="2">
      <t>キュウ</t>
    </rPh>
    <phoneticPr fontId="4"/>
  </si>
  <si>
    <t>19(+)</t>
    <phoneticPr fontId="4"/>
  </si>
  <si>
    <t>20+</t>
  </si>
  <si>
    <t>各年の面積 (全国計) (千ha)</t>
    <rPh sb="0" eb="2">
      <t>カクネン</t>
    </rPh>
    <rPh sb="3" eb="5">
      <t>メンセキ</t>
    </rPh>
    <rPh sb="7" eb="9">
      <t>ゼンコク</t>
    </rPh>
    <rPh sb="9" eb="10">
      <t>ケイ</t>
    </rPh>
    <rPh sb="13" eb="14">
      <t>セン</t>
    </rPh>
    <phoneticPr fontId="4"/>
  </si>
  <si>
    <t>　2007年</t>
    <rPh sb="5" eb="6">
      <t>ネン</t>
    </rPh>
    <phoneticPr fontId="4"/>
  </si>
  <si>
    <t>…</t>
    <phoneticPr fontId="4"/>
  </si>
  <si>
    <t>　2012年</t>
    <rPh sb="5" eb="6">
      <t>ネン</t>
    </rPh>
    <phoneticPr fontId="4"/>
  </si>
  <si>
    <t>　2017年</t>
    <rPh sb="5" eb="6">
      <t>ネン</t>
    </rPh>
    <phoneticPr fontId="4"/>
  </si>
  <si>
    <t>2012年の齢級別面積の2007年からの変化</t>
    <rPh sb="4" eb="5">
      <t>ネン</t>
    </rPh>
    <rPh sb="6" eb="7">
      <t>レイ</t>
    </rPh>
    <rPh sb="7" eb="8">
      <t>キュウ</t>
    </rPh>
    <rPh sb="8" eb="9">
      <t>ベツ</t>
    </rPh>
    <rPh sb="9" eb="11">
      <t>メンセキ</t>
    </rPh>
    <rPh sb="16" eb="17">
      <t>ネン</t>
    </rPh>
    <rPh sb="20" eb="22">
      <t>ヘンカ</t>
    </rPh>
    <phoneticPr fontId="4"/>
  </si>
  <si>
    <t>　増減面積 (全国計) (千ha)</t>
    <rPh sb="1" eb="3">
      <t>ゾウゲン</t>
    </rPh>
    <rPh sb="3" eb="5">
      <t>メンセキ</t>
    </rPh>
    <rPh sb="7" eb="9">
      <t>ゼンコク</t>
    </rPh>
    <rPh sb="9" eb="10">
      <t>ケイ</t>
    </rPh>
    <rPh sb="13" eb="14">
      <t>セン</t>
    </rPh>
    <phoneticPr fontId="4"/>
  </si>
  <si>
    <t>…</t>
  </si>
  <si>
    <t>　増加した県の数</t>
    <rPh sb="1" eb="3">
      <t>ゾウカ</t>
    </rPh>
    <rPh sb="5" eb="6">
      <t>ケン</t>
    </rPh>
    <rPh sb="7" eb="8">
      <t>カズ</t>
    </rPh>
    <phoneticPr fontId="4"/>
  </si>
  <si>
    <t>　減少または変化なしの県の数</t>
    <rPh sb="1" eb="3">
      <t>ゲンショウ</t>
    </rPh>
    <rPh sb="6" eb="8">
      <t>ヘンカ</t>
    </rPh>
    <rPh sb="11" eb="12">
      <t>ケン</t>
    </rPh>
    <rPh sb="13" eb="14">
      <t>スウ</t>
    </rPh>
    <phoneticPr fontId="4"/>
  </si>
  <si>
    <t>　減少または変化なしの県のみ集計</t>
    <rPh sb="11" eb="12">
      <t>ケン</t>
    </rPh>
    <rPh sb="14" eb="16">
      <t>シュウケイ</t>
    </rPh>
    <phoneticPr fontId="4"/>
  </si>
  <si>
    <t>　　2007年面積 (千ha)</t>
    <rPh sb="6" eb="7">
      <t>ネン</t>
    </rPh>
    <rPh sb="7" eb="9">
      <t>メンセキ</t>
    </rPh>
    <rPh sb="11" eb="12">
      <t>セン</t>
    </rPh>
    <phoneticPr fontId="4"/>
  </si>
  <si>
    <t>　　2012年面積 (千ha)</t>
    <rPh sb="6" eb="7">
      <t>ネン</t>
    </rPh>
    <rPh sb="7" eb="9">
      <t>メンセキ</t>
    </rPh>
    <phoneticPr fontId="4"/>
  </si>
  <si>
    <t>　　減少面積 (千ha)</t>
    <rPh sb="2" eb="4">
      <t>ゲンショウ</t>
    </rPh>
    <rPh sb="4" eb="6">
      <t>メンセキ</t>
    </rPh>
    <phoneticPr fontId="4"/>
  </si>
  <si>
    <t>　　減少率 (%)</t>
    <rPh sb="2" eb="4">
      <t>ゲンショウ</t>
    </rPh>
    <rPh sb="4" eb="5">
      <t>リツ</t>
    </rPh>
    <phoneticPr fontId="4"/>
  </si>
  <si>
    <t>　　　〃　の3項移動平均(10齢級以上のみ) (%)</t>
    <rPh sb="7" eb="8">
      <t>コウ</t>
    </rPh>
    <rPh sb="8" eb="10">
      <t>イドウ</t>
    </rPh>
    <rPh sb="10" eb="12">
      <t>ヘイキン</t>
    </rPh>
    <rPh sb="15" eb="16">
      <t>レイ</t>
    </rPh>
    <rPh sb="16" eb="17">
      <t>キュウ</t>
    </rPh>
    <rPh sb="17" eb="19">
      <t>イジョウ</t>
    </rPh>
    <phoneticPr fontId="4"/>
  </si>
  <si>
    <t>…</t>
    <phoneticPr fontId="4"/>
  </si>
  <si>
    <t>2017年の齢級別面積の2012年からの変化</t>
    <rPh sb="4" eb="5">
      <t>ネン</t>
    </rPh>
    <rPh sb="6" eb="7">
      <t>レイ</t>
    </rPh>
    <rPh sb="7" eb="8">
      <t>キュウ</t>
    </rPh>
    <rPh sb="8" eb="9">
      <t>ベツ</t>
    </rPh>
    <rPh sb="9" eb="11">
      <t>メンセキ</t>
    </rPh>
    <rPh sb="16" eb="17">
      <t>ネン</t>
    </rPh>
    <rPh sb="20" eb="22">
      <t>ヘンカ</t>
    </rPh>
    <phoneticPr fontId="4"/>
  </si>
  <si>
    <t>　　2012年面積 (千ha)</t>
    <rPh sb="6" eb="7">
      <t>ネン</t>
    </rPh>
    <rPh sb="7" eb="9">
      <t>メンセキ</t>
    </rPh>
    <rPh sb="11" eb="12">
      <t>セン</t>
    </rPh>
    <phoneticPr fontId="4"/>
  </si>
  <si>
    <t>　　2017年面積 (千ha)</t>
    <rPh sb="6" eb="7">
      <t>ネン</t>
    </rPh>
    <rPh sb="7" eb="9">
      <t>メンセキ</t>
    </rPh>
    <phoneticPr fontId="4"/>
  </si>
  <si>
    <t>筆者が与えた伐採面積率の仮値（４．６．で改めて推計し直した）</t>
    <rPh sb="0" eb="2">
      <t>ヒッシャ</t>
    </rPh>
    <rPh sb="3" eb="4">
      <t>アタ</t>
    </rPh>
    <rPh sb="6" eb="8">
      <t>バッサイ</t>
    </rPh>
    <rPh sb="8" eb="10">
      <t>メンセキ</t>
    </rPh>
    <rPh sb="10" eb="11">
      <t>リツ</t>
    </rPh>
    <rPh sb="12" eb="13">
      <t>カリ</t>
    </rPh>
    <rPh sb="13" eb="14">
      <t>アタイ</t>
    </rPh>
    <rPh sb="20" eb="21">
      <t>アラタ</t>
    </rPh>
    <rPh sb="23" eb="25">
      <t>スイケイ</t>
    </rPh>
    <rPh sb="26" eb="27">
      <t>ナオ</t>
    </rPh>
    <phoneticPr fontId="4"/>
  </si>
  <si>
    <t>資料: 「森林資源の現況」平成19年3月31日現在, 平成24年3月31日現在, 平成29年3月31日現在</t>
    <rPh sb="0" eb="2">
      <t>シリョウ</t>
    </rPh>
    <rPh sb="5" eb="7">
      <t>シンリン</t>
    </rPh>
    <rPh sb="7" eb="9">
      <t>シゲン</t>
    </rPh>
    <rPh sb="10" eb="12">
      <t>ゲンキョウ</t>
    </rPh>
    <rPh sb="13" eb="15">
      <t>ヘイセイ</t>
    </rPh>
    <rPh sb="17" eb="18">
      <t>ネン</t>
    </rPh>
    <rPh sb="19" eb="20">
      <t>ガツ</t>
    </rPh>
    <rPh sb="22" eb="23">
      <t>ニチ</t>
    </rPh>
    <rPh sb="23" eb="25">
      <t>ゲンザイ</t>
    </rPh>
    <rPh sb="31" eb="32">
      <t>ネン</t>
    </rPh>
    <phoneticPr fontId="4"/>
  </si>
  <si>
    <t>　注: 2007年・2012年の最高齢級は「19齢級以上」</t>
    <rPh sb="1" eb="2">
      <t>チュウ</t>
    </rPh>
    <rPh sb="8" eb="9">
      <t>ネン</t>
    </rPh>
    <rPh sb="14" eb="15">
      <t>ネン</t>
    </rPh>
    <rPh sb="16" eb="18">
      <t>サイコウ</t>
    </rPh>
    <rPh sb="18" eb="19">
      <t>レイ</t>
    </rPh>
    <rPh sb="19" eb="20">
      <t>キュウ</t>
    </rPh>
    <rPh sb="24" eb="25">
      <t>レイ</t>
    </rPh>
    <rPh sb="25" eb="26">
      <t>キュウ</t>
    </rPh>
    <rPh sb="26" eb="28">
      <t>イジョウ</t>
    </rPh>
    <phoneticPr fontId="4"/>
  </si>
  <si>
    <t>Table 6  都道府県別人工林齢級別面積の前回からの変化</t>
    <rPh sb="9" eb="13">
      <t>トドウフケン</t>
    </rPh>
    <rPh sb="13" eb="14">
      <t>ベツ</t>
    </rPh>
    <rPh sb="14" eb="17">
      <t>ジンコウリン</t>
    </rPh>
    <rPh sb="17" eb="19">
      <t>レイキュウ</t>
    </rPh>
    <rPh sb="19" eb="20">
      <t>ベツ</t>
    </rPh>
    <rPh sb="20" eb="22">
      <t>メンセキ</t>
    </rPh>
    <rPh sb="23" eb="25">
      <t>ゼンカイ</t>
    </rPh>
    <rPh sb="28" eb="30">
      <t>ヘンカ</t>
    </rPh>
    <phoneticPr fontId="4"/>
  </si>
  <si>
    <t>皆伐(全樹種計)</t>
    <rPh sb="0" eb="2">
      <t>カイバツ</t>
    </rPh>
    <rPh sb="3" eb="4">
      <t>ゼン</t>
    </rPh>
    <rPh sb="4" eb="6">
      <t>ジュシュ</t>
    </rPh>
    <rPh sb="6" eb="7">
      <t>ケイ</t>
    </rPh>
    <phoneticPr fontId="12"/>
  </si>
  <si>
    <t>間伐(全樹種計)</t>
    <rPh sb="0" eb="2">
      <t>カンバツ</t>
    </rPh>
    <rPh sb="3" eb="4">
      <t>ゼン</t>
    </rPh>
    <rPh sb="4" eb="6">
      <t>ジュシュ</t>
    </rPh>
    <rPh sb="6" eb="7">
      <t>ケイ</t>
    </rPh>
    <phoneticPr fontId="12"/>
  </si>
  <si>
    <t>立木
素材
の比</t>
    <rPh sb="0" eb="2">
      <t>タチキ</t>
    </rPh>
    <rPh sb="3" eb="5">
      <t>ソザイ</t>
    </rPh>
    <rPh sb="7" eb="8">
      <t>ヒ</t>
    </rPh>
    <phoneticPr fontId="12"/>
  </si>
  <si>
    <t>年</t>
    <rPh sb="0" eb="1">
      <t>ネン</t>
    </rPh>
    <phoneticPr fontId="12"/>
  </si>
  <si>
    <t>(近似と外挿)</t>
    <rPh sb="4" eb="6">
      <t>ガイソウ</t>
    </rPh>
    <phoneticPr fontId="12"/>
  </si>
  <si>
    <t>(同
指数)</t>
    <rPh sb="1" eb="2">
      <t>ドウ</t>
    </rPh>
    <phoneticPr fontId="12"/>
  </si>
  <si>
    <t>(a)</t>
    <phoneticPr fontId="12"/>
  </si>
  <si>
    <t>(b)</t>
    <phoneticPr fontId="12"/>
  </si>
  <si>
    <t>(c)</t>
    <phoneticPr fontId="12"/>
  </si>
  <si>
    <t>(d)</t>
    <phoneticPr fontId="12"/>
  </si>
  <si>
    <t>(e)</t>
    <phoneticPr fontId="12"/>
  </si>
  <si>
    <t>(f)</t>
    <phoneticPr fontId="12"/>
  </si>
  <si>
    <t>(g)</t>
    <phoneticPr fontId="12"/>
  </si>
  <si>
    <t>(h)</t>
    <phoneticPr fontId="12"/>
  </si>
  <si>
    <t>(a)</t>
    <phoneticPr fontId="12"/>
  </si>
  <si>
    <t>(b)</t>
    <phoneticPr fontId="12"/>
  </si>
  <si>
    <t>(f)</t>
    <phoneticPr fontId="12"/>
  </si>
  <si>
    <t>(h)</t>
    <phoneticPr fontId="12"/>
  </si>
  <si>
    <t>算出方法</t>
    <rPh sb="0" eb="2">
      <t>サンシュツ</t>
    </rPh>
    <rPh sb="2" eb="4">
      <t>ホウホウ</t>
    </rPh>
    <phoneticPr fontId="12"/>
  </si>
  <si>
    <t>※1</t>
    <phoneticPr fontId="12"/>
  </si>
  <si>
    <t>5.53*年+300</t>
    <rPh sb="5" eb="6">
      <t>ネン</t>
    </rPh>
    <phoneticPr fontId="12"/>
  </si>
  <si>
    <t>c/d
※2</t>
    <phoneticPr fontId="12"/>
  </si>
  <si>
    <t>b/e</t>
    <phoneticPr fontId="12"/>
  </si>
  <si>
    <t>9.91*年+356</t>
    <rPh sb="5" eb="6">
      <t>ネン</t>
    </rPh>
    <phoneticPr fontId="12"/>
  </si>
  <si>
    <t>2007年=100</t>
    <phoneticPr fontId="12"/>
  </si>
  <si>
    <t>0.496*年+81</t>
    <rPh sb="6" eb="7">
      <t>ネン</t>
    </rPh>
    <phoneticPr fontId="12"/>
  </si>
  <si>
    <t>※3</t>
    <phoneticPr fontId="12"/>
  </si>
  <si>
    <t>2.61*年+90</t>
    <rPh sb="5" eb="6">
      <t>ネン</t>
    </rPh>
    <phoneticPr fontId="12"/>
  </si>
  <si>
    <t>（資料）「素材生産費等調査報告書」各年、筆者試算</t>
    <rPh sb="1" eb="3">
      <t>シリョウ</t>
    </rPh>
    <rPh sb="5" eb="7">
      <t>ソザイ</t>
    </rPh>
    <rPh sb="7" eb="9">
      <t>セイサン</t>
    </rPh>
    <rPh sb="9" eb="10">
      <t>ヒ</t>
    </rPh>
    <rPh sb="10" eb="11">
      <t>ナド</t>
    </rPh>
    <rPh sb="11" eb="13">
      <t>チョウサ</t>
    </rPh>
    <rPh sb="13" eb="16">
      <t>ホウコクショ</t>
    </rPh>
    <rPh sb="17" eb="19">
      <t>カクネン</t>
    </rPh>
    <rPh sb="20" eb="22">
      <t>ヒッシャ</t>
    </rPh>
    <rPh sb="22" eb="24">
      <t>シサン</t>
    </rPh>
    <phoneticPr fontId="12"/>
  </si>
  <si>
    <t>　（注）算出方法が空欄の項目は、報告書掲載値。</t>
    <rPh sb="2" eb="3">
      <t>チュウ</t>
    </rPh>
    <rPh sb="4" eb="6">
      <t>サンシュツ</t>
    </rPh>
    <rPh sb="6" eb="8">
      <t>ホウホウ</t>
    </rPh>
    <rPh sb="9" eb="11">
      <t>クウラン</t>
    </rPh>
    <rPh sb="12" eb="14">
      <t>コウモク</t>
    </rPh>
    <rPh sb="16" eb="18">
      <t>ホウコク</t>
    </rPh>
    <rPh sb="18" eb="19">
      <t>ショ</t>
    </rPh>
    <rPh sb="19" eb="21">
      <t>ケイサイ</t>
    </rPh>
    <rPh sb="21" eb="22">
      <t>アタイ</t>
    </rPh>
    <phoneticPr fontId="12"/>
  </si>
  <si>
    <t>　　　　※1：1ha当たり素材生産量(a)のうち、2011年までの皆伐・2004年までの間伐は、報告書には掲載がないが、</t>
    <rPh sb="10" eb="11">
      <t>ア</t>
    </rPh>
    <rPh sb="13" eb="15">
      <t>ソザイ</t>
    </rPh>
    <rPh sb="15" eb="17">
      <t>セイサン</t>
    </rPh>
    <rPh sb="17" eb="18">
      <t>リョウ</t>
    </rPh>
    <rPh sb="29" eb="30">
      <t>ネン</t>
    </rPh>
    <rPh sb="33" eb="35">
      <t>カイバツ</t>
    </rPh>
    <rPh sb="40" eb="41">
      <t>ネン</t>
    </rPh>
    <rPh sb="44" eb="46">
      <t>カンバツ</t>
    </rPh>
    <rPh sb="48" eb="50">
      <t>ホウコク</t>
    </rPh>
    <rPh sb="50" eb="51">
      <t>ショ</t>
    </rPh>
    <rPh sb="53" eb="55">
      <t>ケイサイ</t>
    </rPh>
    <phoneticPr fontId="12"/>
  </si>
  <si>
    <t>　　　　　　 樹種別の値より筆者が算出した。</t>
    <phoneticPr fontId="12"/>
  </si>
  <si>
    <t>　　　　※2：立木材積価格(c)と素材換算立木価格(d)の比(e)は、2010年までは傾向が異なるため用いなかった。</t>
    <rPh sb="29" eb="30">
      <t>ヒ</t>
    </rPh>
    <rPh sb="39" eb="40">
      <t>ネン</t>
    </rPh>
    <rPh sb="43" eb="45">
      <t>ケイコウ</t>
    </rPh>
    <rPh sb="46" eb="47">
      <t>コト</t>
    </rPh>
    <rPh sb="51" eb="52">
      <t>モチ</t>
    </rPh>
    <phoneticPr fontId="12"/>
  </si>
  <si>
    <t>　　　　※3：間伐の立木材積価格(c)の2011年は、報告書には掲載がないが、樹種別の値より筆者が算出した。</t>
    <rPh sb="7" eb="9">
      <t>カンバツ</t>
    </rPh>
    <rPh sb="10" eb="12">
      <t>タチキ</t>
    </rPh>
    <rPh sb="12" eb="14">
      <t>ザイセキ</t>
    </rPh>
    <rPh sb="14" eb="16">
      <t>カカク</t>
    </rPh>
    <rPh sb="24" eb="25">
      <t>ネン</t>
    </rPh>
    <rPh sb="27" eb="30">
      <t>ホウコクショ</t>
    </rPh>
    <rPh sb="32" eb="34">
      <t>ケイサイ</t>
    </rPh>
    <rPh sb="39" eb="41">
      <t>ジュシュ</t>
    </rPh>
    <rPh sb="41" eb="42">
      <t>ベツ</t>
    </rPh>
    <rPh sb="43" eb="44">
      <t>アタイ</t>
    </rPh>
    <rPh sb="46" eb="48">
      <t>ヒッシャ</t>
    </rPh>
    <rPh sb="49" eb="51">
      <t>サンシュツ</t>
    </rPh>
    <phoneticPr fontId="12"/>
  </si>
  <si>
    <t>Table 7　面積当たり立木伐採材積の試算</t>
    <rPh sb="8" eb="10">
      <t>メンセキ</t>
    </rPh>
    <rPh sb="10" eb="11">
      <t>ア</t>
    </rPh>
    <rPh sb="13" eb="15">
      <t>タチキ</t>
    </rPh>
    <rPh sb="15" eb="17">
      <t>バッサイ</t>
    </rPh>
    <rPh sb="17" eb="19">
      <t>ザイセキ</t>
    </rPh>
    <rPh sb="20" eb="22">
      <t>シサン</t>
    </rPh>
    <phoneticPr fontId="12"/>
  </si>
  <si>
    <t>木材供給量</t>
    <rPh sb="0" eb="2">
      <t>モクザイ</t>
    </rPh>
    <rPh sb="2" eb="4">
      <t>キョウキュウ</t>
    </rPh>
    <rPh sb="4" eb="5">
      <t>リョウ</t>
    </rPh>
    <phoneticPr fontId="4"/>
  </si>
  <si>
    <t>素材生産量</t>
    <rPh sb="0" eb="2">
      <t>ソザイ</t>
    </rPh>
    <rPh sb="2" eb="4">
      <t>セイサン</t>
    </rPh>
    <rPh sb="4" eb="5">
      <t>リョウ</t>
    </rPh>
    <phoneticPr fontId="4"/>
  </si>
  <si>
    <t>木材供給量:用材(丸太)と素材生産量の差</t>
    <rPh sb="0" eb="2">
      <t>モクザイ</t>
    </rPh>
    <rPh sb="2" eb="4">
      <t>キョウキュウ</t>
    </rPh>
    <rPh sb="4" eb="5">
      <t>リョウ</t>
    </rPh>
    <rPh sb="6" eb="8">
      <t>ヨウザイ</t>
    </rPh>
    <rPh sb="9" eb="11">
      <t>マルタ</t>
    </rPh>
    <phoneticPr fontId="4"/>
  </si>
  <si>
    <t>素材生産量(補正)
(左の差を追加)</t>
    <rPh sb="0" eb="2">
      <t>ソザイ</t>
    </rPh>
    <rPh sb="2" eb="4">
      <t>セイサン</t>
    </rPh>
    <rPh sb="4" eb="5">
      <t>リョウ</t>
    </rPh>
    <rPh sb="6" eb="8">
      <t>ホセイ</t>
    </rPh>
    <rPh sb="11" eb="12">
      <t>ヒダリ</t>
    </rPh>
    <rPh sb="13" eb="14">
      <t>サ</t>
    </rPh>
    <rPh sb="15" eb="17">
      <t>ツイカ</t>
    </rPh>
    <phoneticPr fontId="4"/>
  </si>
  <si>
    <t>木材供給量
(針広別試算)</t>
    <rPh sb="0" eb="2">
      <t>モクザイ</t>
    </rPh>
    <rPh sb="2" eb="4">
      <t>キョウキュウ</t>
    </rPh>
    <rPh sb="4" eb="5">
      <t>リョウ</t>
    </rPh>
    <rPh sb="7" eb="8">
      <t>ハリ</t>
    </rPh>
    <rPh sb="8" eb="9">
      <t>ヒロ</t>
    </rPh>
    <rPh sb="9" eb="10">
      <t>ベツ</t>
    </rPh>
    <rPh sb="10" eb="12">
      <t>シサン</t>
    </rPh>
    <phoneticPr fontId="4"/>
  </si>
  <si>
    <t>木材供給量(人天皆伐別試算)</t>
    <rPh sb="0" eb="2">
      <t>モクザイ</t>
    </rPh>
    <rPh sb="2" eb="4">
      <t>キョウキュウ</t>
    </rPh>
    <rPh sb="4" eb="5">
      <t>リョウ</t>
    </rPh>
    <rPh sb="6" eb="7">
      <t>ヒト</t>
    </rPh>
    <rPh sb="7" eb="8">
      <t>テン</t>
    </rPh>
    <rPh sb="10" eb="11">
      <t>ベツ</t>
    </rPh>
    <rPh sb="11" eb="13">
      <t>シサン</t>
    </rPh>
    <phoneticPr fontId="4"/>
  </si>
  <si>
    <t>(参考)
間伐材利用量</t>
    <rPh sb="1" eb="3">
      <t>サンコウ</t>
    </rPh>
    <phoneticPr fontId="4"/>
  </si>
  <si>
    <t>燃料材供給量
(丸太換算)</t>
    <rPh sb="0" eb="2">
      <t>ネンリョウ</t>
    </rPh>
    <rPh sb="2" eb="3">
      <t>ザイ</t>
    </rPh>
    <rPh sb="3" eb="5">
      <t>キョウキュウ</t>
    </rPh>
    <rPh sb="5" eb="6">
      <t>リョウ</t>
    </rPh>
    <rPh sb="8" eb="10">
      <t>マルタ</t>
    </rPh>
    <rPh sb="10" eb="12">
      <t>カンサン</t>
    </rPh>
    <phoneticPr fontId="4"/>
  </si>
  <si>
    <t>木質ペレット供給量の広葉樹割合</t>
    <rPh sb="0" eb="2">
      <t>モクシツ</t>
    </rPh>
    <rPh sb="6" eb="8">
      <t>キョウキュウ</t>
    </rPh>
    <rPh sb="8" eb="9">
      <t>リョウ</t>
    </rPh>
    <rPh sb="10" eb="13">
      <t>コウヨウジュ</t>
    </rPh>
    <rPh sb="13" eb="15">
      <t>ワリアイ</t>
    </rPh>
    <phoneticPr fontId="4"/>
  </si>
  <si>
    <t>燃料材供給量
(針広別試算)</t>
    <rPh sb="0" eb="2">
      <t>ネンリョウ</t>
    </rPh>
    <rPh sb="2" eb="3">
      <t>ザイ</t>
    </rPh>
    <rPh sb="3" eb="5">
      <t>キョウキュウ</t>
    </rPh>
    <rPh sb="5" eb="6">
      <t>リョウ</t>
    </rPh>
    <rPh sb="8" eb="9">
      <t>ハリ</t>
    </rPh>
    <rPh sb="9" eb="10">
      <t>ヒロ</t>
    </rPh>
    <rPh sb="10" eb="11">
      <t>ベツ</t>
    </rPh>
    <rPh sb="11" eb="13">
      <t>シサン</t>
    </rPh>
    <phoneticPr fontId="4"/>
  </si>
  <si>
    <t>総数</t>
    <rPh sb="0" eb="2">
      <t>ソウスウ</t>
    </rPh>
    <phoneticPr fontId="4"/>
  </si>
  <si>
    <t>用材
(丸太)</t>
    <rPh sb="4" eb="6">
      <t>マルタ</t>
    </rPh>
    <phoneticPr fontId="4"/>
  </si>
  <si>
    <t>用材
(林地残材)</t>
    <rPh sb="0" eb="2">
      <t>ヨウザイ</t>
    </rPh>
    <rPh sb="4" eb="6">
      <t>リンチ</t>
    </rPh>
    <rPh sb="6" eb="8">
      <t>ザンザイ</t>
    </rPh>
    <phoneticPr fontId="4"/>
  </si>
  <si>
    <t>しいたけ原木</t>
    <rPh sb="4" eb="6">
      <t>ハラキ</t>
    </rPh>
    <phoneticPr fontId="2"/>
  </si>
  <si>
    <t>燃料材(薪炭材)</t>
    <rPh sb="0" eb="2">
      <t>ネンリョウ</t>
    </rPh>
    <rPh sb="2" eb="3">
      <t>ザイ</t>
    </rPh>
    <rPh sb="4" eb="6">
      <t>シンタン</t>
    </rPh>
    <rPh sb="6" eb="7">
      <t>ザイ</t>
    </rPh>
    <phoneticPr fontId="2"/>
  </si>
  <si>
    <t>針葉樹</t>
    <rPh sb="0" eb="3">
      <t>シンヨウジュ</t>
    </rPh>
    <phoneticPr fontId="4"/>
  </si>
  <si>
    <t>広葉樹</t>
    <rPh sb="0" eb="3">
      <t>コウヨウジュ</t>
    </rPh>
    <phoneticPr fontId="4"/>
  </si>
  <si>
    <t>針葉樹
へ按分</t>
    <rPh sb="0" eb="3">
      <t>シンヨウジュ</t>
    </rPh>
    <rPh sb="5" eb="7">
      <t>アンブン</t>
    </rPh>
    <phoneticPr fontId="4"/>
  </si>
  <si>
    <t>広葉樹
へ按分</t>
    <rPh sb="0" eb="3">
      <t>コウヨウジュ</t>
    </rPh>
    <rPh sb="5" eb="7">
      <t>アンブン</t>
    </rPh>
    <phoneticPr fontId="4"/>
  </si>
  <si>
    <t>広葉樹割合 (%)</t>
    <rPh sb="0" eb="3">
      <t>コウヨウジュ</t>
    </rPh>
    <rPh sb="3" eb="5">
      <t>ワリアイ</t>
    </rPh>
    <phoneticPr fontId="4"/>
  </si>
  <si>
    <t>人工林
皆伐</t>
    <rPh sb="0" eb="2">
      <t>ジンコウ</t>
    </rPh>
    <rPh sb="2" eb="3">
      <t>リン</t>
    </rPh>
    <rPh sb="4" eb="6">
      <t>カイバツ</t>
    </rPh>
    <phoneticPr fontId="4"/>
  </si>
  <si>
    <t>天然林
皆伐</t>
    <rPh sb="0" eb="3">
      <t>テンネンリン</t>
    </rPh>
    <rPh sb="4" eb="6">
      <t>カイバツ</t>
    </rPh>
    <phoneticPr fontId="4"/>
  </si>
  <si>
    <t>燃料用チップ</t>
    <phoneticPr fontId="4"/>
  </si>
  <si>
    <t>木質ペレット</t>
    <phoneticPr fontId="4"/>
  </si>
  <si>
    <t>その他(≒木炭+薪)</t>
    <phoneticPr fontId="4"/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</si>
  <si>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</si>
  <si>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</si>
  <si>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</si>
  <si>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</si>
  <si>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</si>
  <si>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</si>
  <si>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</si>
  <si>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</si>
  <si>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</si>
  <si>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</si>
  <si>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</si>
  <si>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</si>
  <si>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</si>
  <si>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</si>
  <si>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</si>
  <si>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</si>
  <si>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</si>
  <si>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(r)</t>
  </si>
  <si>
    <t>(s)</t>
  </si>
  <si>
    <t>(t)</t>
    <phoneticPr fontId="4"/>
  </si>
  <si>
    <t>(u)</t>
    <phoneticPr fontId="4"/>
  </si>
  <si>
    <t>(v)</t>
    <phoneticPr fontId="4"/>
  </si>
  <si>
    <t>(w)</t>
    <phoneticPr fontId="4"/>
  </si>
  <si>
    <t>(x)</t>
    <phoneticPr fontId="4"/>
  </si>
  <si>
    <t>(y)</t>
    <phoneticPr fontId="4"/>
  </si>
  <si>
    <t>[木材需給表]国内生産</t>
    <rPh sb="1" eb="3">
      <t>モクザイ</t>
    </rPh>
    <rPh sb="3" eb="5">
      <t>ジュキュウ</t>
    </rPh>
    <phoneticPr fontId="4"/>
  </si>
  <si>
    <t>[木材統計]</t>
    <rPh sb="1" eb="3">
      <t>モクザイ</t>
    </rPh>
    <rPh sb="3" eb="5">
      <t>トウケイ</t>
    </rPh>
    <phoneticPr fontId="4"/>
  </si>
  <si>
    <t>※1</t>
    <phoneticPr fontId="4"/>
  </si>
  <si>
    <t>※2</t>
    <phoneticPr fontId="4"/>
  </si>
  <si>
    <t>※3</t>
    <phoneticPr fontId="4"/>
  </si>
  <si>
    <t>[要覧]</t>
    <rPh sb="1" eb="3">
      <t>ヨウラン</t>
    </rPh>
    <phoneticPr fontId="4"/>
  </si>
  <si>
    <t>※6</t>
    <phoneticPr fontId="4"/>
  </si>
  <si>
    <t>※7</t>
    <phoneticPr fontId="4"/>
  </si>
  <si>
    <t>（資料）「木材需給表」「木材統計」「森林・林業統計要覧」、筆者推計</t>
    <rPh sb="1" eb="3">
      <t>シリョウ</t>
    </rPh>
    <rPh sb="5" eb="7">
      <t>モクザイ</t>
    </rPh>
    <rPh sb="7" eb="9">
      <t>ジュキュウ</t>
    </rPh>
    <rPh sb="9" eb="10">
      <t>オモテ</t>
    </rPh>
    <rPh sb="12" eb="14">
      <t>モクザイ</t>
    </rPh>
    <rPh sb="14" eb="16">
      <t>トウケイ</t>
    </rPh>
    <rPh sb="18" eb="20">
      <t>シンリン</t>
    </rPh>
    <rPh sb="21" eb="23">
      <t>リンギョウ</t>
    </rPh>
    <rPh sb="23" eb="25">
      <t>トウケイ</t>
    </rPh>
    <rPh sb="25" eb="27">
      <t>ヨウラン</t>
    </rPh>
    <rPh sb="29" eb="31">
      <t>ヒッシャ</t>
    </rPh>
    <rPh sb="31" eb="33">
      <t>スイケイ</t>
    </rPh>
    <phoneticPr fontId="4"/>
  </si>
  <si>
    <t>　（注）※1: 2000年までのパルプ用・その他用素材生産量の針広別内訳は約9:1なので、用材(丸太)(b)と素材試算量(f)の差(i)を9:1で針(j)広(k)へ按分した。</t>
    <rPh sb="2" eb="3">
      <t>チュウ</t>
    </rPh>
    <rPh sb="12" eb="13">
      <t>ネン</t>
    </rPh>
    <rPh sb="19" eb="20">
      <t>ヨウ</t>
    </rPh>
    <rPh sb="23" eb="24">
      <t>タ</t>
    </rPh>
    <rPh sb="24" eb="25">
      <t>ヨウ</t>
    </rPh>
    <rPh sb="25" eb="27">
      <t>ソザイ</t>
    </rPh>
    <rPh sb="27" eb="29">
      <t>セイサン</t>
    </rPh>
    <rPh sb="29" eb="30">
      <t>リョウ</t>
    </rPh>
    <rPh sb="31" eb="32">
      <t>ハリ</t>
    </rPh>
    <rPh sb="32" eb="33">
      <t>ヒロ</t>
    </rPh>
    <rPh sb="33" eb="34">
      <t>ベツ</t>
    </rPh>
    <rPh sb="34" eb="36">
      <t>ウチワケ</t>
    </rPh>
    <rPh sb="37" eb="38">
      <t>ヤク</t>
    </rPh>
    <rPh sb="45" eb="47">
      <t>ヨウザイ</t>
    </rPh>
    <rPh sb="48" eb="50">
      <t>マルタ</t>
    </rPh>
    <rPh sb="55" eb="57">
      <t>ソザイ</t>
    </rPh>
    <rPh sb="57" eb="59">
      <t>シサン</t>
    </rPh>
    <rPh sb="59" eb="60">
      <t>リョウ</t>
    </rPh>
    <rPh sb="64" eb="65">
      <t>サ</t>
    </rPh>
    <rPh sb="73" eb="74">
      <t>ハリ</t>
    </rPh>
    <rPh sb="77" eb="78">
      <t>ヒロ</t>
    </rPh>
    <rPh sb="82" eb="84">
      <t>アンブン</t>
    </rPh>
    <phoneticPr fontId="4"/>
  </si>
  <si>
    <t>　　　　※2: 素材生産量(補正)は、針葉樹(m)=g+j、広葉樹(n)=h+k とした。</t>
    <rPh sb="8" eb="10">
      <t>ソザイ</t>
    </rPh>
    <rPh sb="10" eb="12">
      <t>セイサン</t>
    </rPh>
    <rPh sb="12" eb="13">
      <t>リョウ</t>
    </rPh>
    <rPh sb="14" eb="16">
      <t>ホセイ</t>
    </rPh>
    <rPh sb="19" eb="22">
      <t>シンヨウジュ</t>
    </rPh>
    <rPh sb="30" eb="33">
      <t>コウヨウジュ</t>
    </rPh>
    <phoneticPr fontId="4"/>
  </si>
  <si>
    <t>　　　　※3: 木材供給量試算のうち広葉樹(q)は、素材生産量(補正)広葉樹(n)に以下を追加した。</t>
    <rPh sb="8" eb="10">
      <t>モクザイ</t>
    </rPh>
    <rPh sb="10" eb="12">
      <t>キョウキュウ</t>
    </rPh>
    <rPh sb="12" eb="13">
      <t>リョウ</t>
    </rPh>
    <rPh sb="13" eb="15">
      <t>シサン</t>
    </rPh>
    <rPh sb="18" eb="21">
      <t>コウヨウジュ</t>
    </rPh>
    <rPh sb="26" eb="28">
      <t>ソザイ</t>
    </rPh>
    <rPh sb="28" eb="30">
      <t>セイサン</t>
    </rPh>
    <rPh sb="30" eb="31">
      <t>リョウ</t>
    </rPh>
    <rPh sb="32" eb="34">
      <t>ホセイ</t>
    </rPh>
    <rPh sb="35" eb="38">
      <t>コウヨウジュ</t>
    </rPh>
    <rPh sb="42" eb="44">
      <t>イカ</t>
    </rPh>
    <rPh sb="45" eb="47">
      <t>ツイカ</t>
    </rPh>
    <phoneticPr fontId="4"/>
  </si>
  <si>
    <t>　　　　　　 針葉樹(p)は、木材供給量(a)から広葉樹試算(q)を差し引いた。</t>
    <rPh sb="7" eb="10">
      <t>シンヨウジュ</t>
    </rPh>
    <rPh sb="15" eb="17">
      <t>モクザイ</t>
    </rPh>
    <rPh sb="17" eb="19">
      <t>キョウキュウ</t>
    </rPh>
    <rPh sb="19" eb="20">
      <t>リョウ</t>
    </rPh>
    <rPh sb="25" eb="28">
      <t>コウヨウジュ</t>
    </rPh>
    <rPh sb="28" eb="30">
      <t>シサン</t>
    </rPh>
    <rPh sb="34" eb="35">
      <t>サ</t>
    </rPh>
    <rPh sb="36" eb="37">
      <t>ヒ</t>
    </rPh>
    <phoneticPr fontId="4"/>
  </si>
  <si>
    <t>　　　　※4: 木材供給量試算のうち天然林皆伐(s)は、広葉樹(q)とした。人工林皆伐(r)は、針葉樹(p)から利用間伐分(t)を差し引いた。</t>
    <rPh sb="8" eb="10">
      <t>モクザイ</t>
    </rPh>
    <rPh sb="10" eb="12">
      <t>キョウキュウ</t>
    </rPh>
    <rPh sb="12" eb="13">
      <t>リョウ</t>
    </rPh>
    <rPh sb="13" eb="15">
      <t>シサン</t>
    </rPh>
    <rPh sb="18" eb="21">
      <t>テンネンリン</t>
    </rPh>
    <rPh sb="21" eb="23">
      <t>カイバツ</t>
    </rPh>
    <rPh sb="28" eb="31">
      <t>コウヨウジュ</t>
    </rPh>
    <phoneticPr fontId="4"/>
  </si>
  <si>
    <t>　　　　　　 「平成29年木質バイオマスエネルギー利用動向調査」の結果（速報）について (林野庁木材利用課 2018) の</t>
    <rPh sb="8" eb="10">
      <t>ヘイセイ</t>
    </rPh>
    <rPh sb="12" eb="13">
      <t>ネン</t>
    </rPh>
    <rPh sb="13" eb="15">
      <t>モクシツ</t>
    </rPh>
    <rPh sb="25" eb="27">
      <t>リヨウ</t>
    </rPh>
    <rPh sb="27" eb="29">
      <t>ドウコウ</t>
    </rPh>
    <rPh sb="29" eb="31">
      <t>チョウサ</t>
    </rPh>
    <rPh sb="33" eb="35">
      <t>ケッカ</t>
    </rPh>
    <rPh sb="36" eb="38">
      <t>ソクホウ</t>
    </rPh>
    <rPh sb="48" eb="50">
      <t>モクザイ</t>
    </rPh>
    <rPh sb="50" eb="52">
      <t>リヨウ</t>
    </rPh>
    <rPh sb="52" eb="53">
      <t>カ</t>
    </rPh>
    <phoneticPr fontId="4"/>
  </si>
  <si>
    <t>　　　　     「エネルギーとして利用された木材チップ、木質ペレットのうち間伐材・林地残材等に由来するものの量の推移（丸太換算量）」に、「木材需給表」の輸出分を加えたもの</t>
    <phoneticPr fontId="4"/>
  </si>
  <si>
    <t>　　　　　　 なお、「木材需給表」では2011年から木質ペレット、2014年から燃料用チップの分が計上されている。</t>
    <phoneticPr fontId="4"/>
  </si>
  <si>
    <t>　　　　　　 「木材需給表」の木炭用材と薪用材の和(国内消費および輸出)に概ね等しいが、若干残差がある。</t>
    <rPh sb="8" eb="10">
      <t>モクザイ</t>
    </rPh>
    <rPh sb="10" eb="12">
      <t>ジュキュウ</t>
    </rPh>
    <rPh sb="12" eb="13">
      <t>オモテ</t>
    </rPh>
    <rPh sb="15" eb="17">
      <t>モクタン</t>
    </rPh>
    <rPh sb="17" eb="19">
      <t>ヨウザイ</t>
    </rPh>
    <rPh sb="20" eb="21">
      <t>タキギ</t>
    </rPh>
    <rPh sb="21" eb="23">
      <t>ヨウザイ</t>
    </rPh>
    <rPh sb="24" eb="25">
      <t>ワ</t>
    </rPh>
    <rPh sb="26" eb="28">
      <t>コクナイ</t>
    </rPh>
    <rPh sb="28" eb="30">
      <t>ショウヒ</t>
    </rPh>
    <rPh sb="33" eb="35">
      <t>ユシュツ</t>
    </rPh>
    <rPh sb="37" eb="38">
      <t>オオム</t>
    </rPh>
    <rPh sb="39" eb="40">
      <t>ヒト</t>
    </rPh>
    <rPh sb="44" eb="46">
      <t>ジャッカン</t>
    </rPh>
    <rPh sb="46" eb="48">
      <t>ザンサ</t>
    </rPh>
    <phoneticPr fontId="4"/>
  </si>
  <si>
    <t>Table 8  木材供給量のうち人工林皆伐・天然林皆伐の内訳の算出</t>
    <rPh sb="9" eb="11">
      <t>モクザイ</t>
    </rPh>
    <rPh sb="11" eb="13">
      <t>キョウキュウ</t>
    </rPh>
    <rPh sb="13" eb="14">
      <t>リョウ</t>
    </rPh>
    <rPh sb="17" eb="20">
      <t>ジンコウリン</t>
    </rPh>
    <rPh sb="20" eb="22">
      <t>カイバツ</t>
    </rPh>
    <rPh sb="23" eb="26">
      <t>テンネンリン</t>
    </rPh>
    <rPh sb="26" eb="28">
      <t>カイバツ</t>
    </rPh>
    <rPh sb="29" eb="31">
      <t>ウチワケ</t>
    </rPh>
    <rPh sb="32" eb="34">
      <t>サンシュツ</t>
    </rPh>
    <phoneticPr fontId="4"/>
  </si>
  <si>
    <t>皆伐面積 (千ha)</t>
    <rPh sb="0" eb="2">
      <t>カイバツ</t>
    </rPh>
    <rPh sb="2" eb="4">
      <t>メンセキ</t>
    </rPh>
    <rPh sb="6" eb="7">
      <t>セン</t>
    </rPh>
    <phoneticPr fontId="4"/>
  </si>
  <si>
    <t>間伐面積 (千ha)</t>
    <rPh sb="0" eb="2">
      <t>カンバツ</t>
    </rPh>
    <rPh sb="2" eb="4">
      <t>メンセキ</t>
    </rPh>
    <rPh sb="6" eb="7">
      <t>セン</t>
    </rPh>
    <phoneticPr fontId="4"/>
  </si>
  <si>
    <t>利用率 (%)</t>
    <rPh sb="0" eb="3">
      <t>リヨウリツ</t>
    </rPh>
    <phoneticPr fontId="4"/>
  </si>
  <si>
    <t>人工林</t>
    <rPh sb="0" eb="2">
      <t>ジンコウ</t>
    </rPh>
    <rPh sb="2" eb="3">
      <t>リン</t>
    </rPh>
    <phoneticPr fontId="4"/>
  </si>
  <si>
    <t>天然林</t>
    <rPh sb="0" eb="3">
      <t>テンネンリン</t>
    </rPh>
    <phoneticPr fontId="4"/>
  </si>
  <si>
    <t>切捨</t>
    <rPh sb="0" eb="1">
      <t>キリ</t>
    </rPh>
    <rPh sb="1" eb="2">
      <t>ス</t>
    </rPh>
    <phoneticPr fontId="4"/>
  </si>
  <si>
    <t>利用</t>
    <rPh sb="0" eb="2">
      <t>リヨウ</t>
    </rPh>
    <phoneticPr fontId="4"/>
  </si>
  <si>
    <t>切捨
間伐</t>
    <rPh sb="0" eb="2">
      <t>キリス</t>
    </rPh>
    <rPh sb="3" eb="5">
      <t>カンバツ</t>
    </rPh>
    <phoneticPr fontId="4"/>
  </si>
  <si>
    <t>利用
間伐</t>
    <rPh sb="0" eb="2">
      <t>リヨウ</t>
    </rPh>
    <rPh sb="3" eb="5">
      <t>カンバツ</t>
    </rPh>
    <phoneticPr fontId="4"/>
  </si>
  <si>
    <t>(s)</t>
    <phoneticPr fontId="4"/>
  </si>
  <si>
    <t>2010～
14平均</t>
    <rPh sb="8" eb="10">
      <t>ヘイキン</t>
    </rPh>
    <phoneticPr fontId="4"/>
  </si>
  <si>
    <t>関係</t>
    <phoneticPr fontId="4"/>
  </si>
  <si>
    <t>求解</t>
    <rPh sb="0" eb="1">
      <t>モトム</t>
    </rPh>
    <rPh sb="1" eb="2">
      <t>カイ</t>
    </rPh>
    <phoneticPr fontId="4"/>
  </si>
  <si>
    <t>仮定</t>
    <rPh sb="0" eb="2">
      <t>カテイ</t>
    </rPh>
    <phoneticPr fontId="4"/>
  </si>
  <si>
    <t>[需表]</t>
    <phoneticPr fontId="4"/>
  </si>
  <si>
    <t>[Table8](r)</t>
    <phoneticPr fontId="4"/>
  </si>
  <si>
    <t>[Table8](s)</t>
    <phoneticPr fontId="4"/>
  </si>
  <si>
    <t>方法</t>
    <rPh sb="0" eb="2">
      <t>ホウホウ</t>
    </rPh>
    <phoneticPr fontId="4"/>
  </si>
  <si>
    <t>立木伐採面積</t>
    <phoneticPr fontId="4"/>
  </si>
  <si>
    <t>l/g</t>
    <phoneticPr fontId="4"/>
  </si>
  <si>
    <t>o/j</t>
    <phoneticPr fontId="4"/>
  </si>
  <si>
    <t>間伐実績</t>
    <phoneticPr fontId="4"/>
  </si>
  <si>
    <t>d-f</t>
    <phoneticPr fontId="4"/>
  </si>
  <si>
    <t>n/i</t>
    <phoneticPr fontId="4"/>
  </si>
  <si>
    <t>m/e</t>
    <phoneticPr fontId="4"/>
  </si>
  <si>
    <t>伐採立木材積</t>
    <rPh sb="0" eb="2">
      <t>バッサイ</t>
    </rPh>
    <rPh sb="2" eb="4">
      <t>タチキ</t>
    </rPh>
    <rPh sb="4" eb="6">
      <t>ザイセキ</t>
    </rPh>
    <phoneticPr fontId="4"/>
  </si>
  <si>
    <t>t/p</t>
    <phoneticPr fontId="4"/>
  </si>
  <si>
    <t>k-l-n-o</t>
    <phoneticPr fontId="4"/>
  </si>
  <si>
    <t>u/q</t>
    <phoneticPr fontId="4"/>
  </si>
  <si>
    <t>v/r</t>
    <phoneticPr fontId="4"/>
  </si>
  <si>
    <t>(t/g+v/j)/a
※3</t>
    <phoneticPr fontId="4"/>
  </si>
  <si>
    <t>=p</t>
    <phoneticPr fontId="4"/>
  </si>
  <si>
    <t>国内生産</t>
    <rPh sb="0" eb="2">
      <t>コクナイ</t>
    </rPh>
    <rPh sb="2" eb="4">
      <t>セイサン</t>
    </rPh>
    <phoneticPr fontId="4"/>
  </si>
  <si>
    <t>間伐材利用量</t>
    <phoneticPr fontId="4"/>
  </si>
  <si>
    <t>人工造林面積 (千ha)</t>
    <rPh sb="0" eb="2">
      <t>ジンコウ</t>
    </rPh>
    <rPh sb="2" eb="4">
      <t>ゾウリン</t>
    </rPh>
    <rPh sb="4" eb="6">
      <t>メンセキ</t>
    </rPh>
    <phoneticPr fontId="4"/>
  </si>
  <si>
    <t>造林率 (%)</t>
    <rPh sb="0" eb="2">
      <t>ゾウリン</t>
    </rPh>
    <rPh sb="2" eb="3">
      <t>リツ</t>
    </rPh>
    <phoneticPr fontId="4"/>
  </si>
  <si>
    <t>(参考)
利用間伐率</t>
    <rPh sb="1" eb="3">
      <t>サンコウ</t>
    </rPh>
    <rPh sb="5" eb="7">
      <t>リヨウ</t>
    </rPh>
    <rPh sb="7" eb="9">
      <t>カンバツ</t>
    </rPh>
    <rPh sb="9" eb="10">
      <t>リツ</t>
    </rPh>
    <phoneticPr fontId="4"/>
  </si>
  <si>
    <t>（資料）「森林・林業統計要覧」「木材需給表」、筆者推計</t>
    <rPh sb="1" eb="3">
      <t>シリョウ</t>
    </rPh>
    <rPh sb="5" eb="7">
      <t>シンリン</t>
    </rPh>
    <rPh sb="8" eb="10">
      <t>リンギョウ</t>
    </rPh>
    <rPh sb="10" eb="12">
      <t>トウケイ</t>
    </rPh>
    <rPh sb="12" eb="14">
      <t>ヨウラン</t>
    </rPh>
    <rPh sb="16" eb="18">
      <t>モクザイ</t>
    </rPh>
    <rPh sb="18" eb="21">
      <t>ジュキュウオモテ</t>
    </rPh>
    <rPh sb="23" eb="25">
      <t>ヒッシャ</t>
    </rPh>
    <rPh sb="25" eb="27">
      <t>スイケイ</t>
    </rPh>
    <phoneticPr fontId="4"/>
  </si>
  <si>
    <t>再造林</t>
    <rPh sb="0" eb="3">
      <t>サイゾウリン</t>
    </rPh>
    <phoneticPr fontId="4"/>
  </si>
  <si>
    <t>拡大</t>
    <rPh sb="0" eb="2">
      <t>カクダイ</t>
    </rPh>
    <phoneticPr fontId="4"/>
  </si>
  <si>
    <t>（注1）本表は、統計値を既知とし、その他の値を Table10 と合わせて推定した結果である。</t>
    <rPh sb="1" eb="2">
      <t>チュウ</t>
    </rPh>
    <rPh sb="4" eb="5">
      <t>ホン</t>
    </rPh>
    <rPh sb="5" eb="6">
      <t>オモテ</t>
    </rPh>
    <rPh sb="8" eb="10">
      <t>トウケイ</t>
    </rPh>
    <rPh sb="10" eb="11">
      <t>チ</t>
    </rPh>
    <rPh sb="12" eb="14">
      <t>キチ</t>
    </rPh>
    <rPh sb="19" eb="20">
      <t>タ</t>
    </rPh>
    <rPh sb="21" eb="22">
      <t>アタイ</t>
    </rPh>
    <rPh sb="33" eb="34">
      <t>ア</t>
    </rPh>
    <rPh sb="37" eb="39">
      <t>スイテイ</t>
    </rPh>
    <rPh sb="41" eb="43">
      <t>ケッカ</t>
    </rPh>
    <phoneticPr fontId="4"/>
  </si>
  <si>
    <t>(z)</t>
    <phoneticPr fontId="4"/>
  </si>
  <si>
    <t>(aa)</t>
    <phoneticPr fontId="4"/>
  </si>
  <si>
    <t>材積</t>
    <phoneticPr fontId="4"/>
  </si>
  <si>
    <t>面積</t>
    <phoneticPr fontId="4"/>
  </si>
  <si>
    <t>（注2）表下端の行に、[統計名]と項目名、または以下の推定方法を記した（詳細は本文を参照）。</t>
    <rPh sb="1" eb="2">
      <t>チュウ</t>
    </rPh>
    <rPh sb="4" eb="5">
      <t>オモテ</t>
    </rPh>
    <rPh sb="5" eb="7">
      <t>カタン</t>
    </rPh>
    <rPh sb="8" eb="9">
      <t>ギョウ</t>
    </rPh>
    <rPh sb="12" eb="14">
      <t>トウケイ</t>
    </rPh>
    <rPh sb="14" eb="15">
      <t>メイ</t>
    </rPh>
    <rPh sb="17" eb="19">
      <t>コウモク</t>
    </rPh>
    <rPh sb="19" eb="20">
      <t>メイ</t>
    </rPh>
    <rPh sb="24" eb="26">
      <t>イカ</t>
    </rPh>
    <rPh sb="27" eb="29">
      <t>スイテイ</t>
    </rPh>
    <rPh sb="29" eb="31">
      <t>ホウホウ</t>
    </rPh>
    <rPh sb="32" eb="33">
      <t>シル</t>
    </rPh>
    <phoneticPr fontId="4"/>
  </si>
  <si>
    <t>　　　・求解 ：以下を仮定し、Excelソルバーを援用して値を求めた。</t>
    <rPh sb="4" eb="5">
      <t>モト</t>
    </rPh>
    <rPh sb="5" eb="6">
      <t>カイ</t>
    </rPh>
    <rPh sb="8" eb="10">
      <t>イカ</t>
    </rPh>
    <rPh sb="11" eb="13">
      <t>カテイ</t>
    </rPh>
    <rPh sb="29" eb="30">
      <t>アタイ</t>
    </rPh>
    <rPh sb="31" eb="32">
      <t>モト</t>
    </rPh>
    <phoneticPr fontId="4"/>
  </si>
  <si>
    <t>　　　　　※1：面積当たり伐採材積（人工林皆伐）・同（利用間伐）は、各年の</t>
    <rPh sb="8" eb="10">
      <t>メンセキ</t>
    </rPh>
    <rPh sb="10" eb="11">
      <t>ア</t>
    </rPh>
    <rPh sb="13" eb="15">
      <t>バッサイ</t>
    </rPh>
    <rPh sb="15" eb="17">
      <t>ザイセキ</t>
    </rPh>
    <rPh sb="18" eb="20">
      <t>ジンコウ</t>
    </rPh>
    <rPh sb="20" eb="21">
      <t>リン</t>
    </rPh>
    <rPh sb="21" eb="23">
      <t>カイバツ</t>
    </rPh>
    <rPh sb="25" eb="26">
      <t>ドウ</t>
    </rPh>
    <rPh sb="27" eb="29">
      <t>リヨウ</t>
    </rPh>
    <rPh sb="29" eb="31">
      <t>カンバツ</t>
    </rPh>
    <rPh sb="34" eb="36">
      <t>カクネン</t>
    </rPh>
    <phoneticPr fontId="4"/>
  </si>
  <si>
    <t>　　　　　　　 「素材生産費等調査報告書」により試算した面積当たり立木伐採材積（皆伐、間伐）</t>
    <rPh sb="9" eb="11">
      <t>ソザイ</t>
    </rPh>
    <rPh sb="11" eb="13">
      <t>セイサン</t>
    </rPh>
    <rPh sb="13" eb="14">
      <t>ヒ</t>
    </rPh>
    <rPh sb="14" eb="15">
      <t>ナド</t>
    </rPh>
    <rPh sb="15" eb="17">
      <t>チョウサ</t>
    </rPh>
    <rPh sb="17" eb="19">
      <t>ホウコク</t>
    </rPh>
    <rPh sb="19" eb="20">
      <t>ショ</t>
    </rPh>
    <rPh sb="24" eb="26">
      <t>シサン</t>
    </rPh>
    <rPh sb="28" eb="30">
      <t>メンセキ</t>
    </rPh>
    <rPh sb="30" eb="31">
      <t>ア</t>
    </rPh>
    <rPh sb="33" eb="35">
      <t>タチキ</t>
    </rPh>
    <rPh sb="35" eb="37">
      <t>バッサイ</t>
    </rPh>
    <rPh sb="37" eb="39">
      <t>ザイセキ</t>
    </rPh>
    <rPh sb="40" eb="42">
      <t>カイバツ</t>
    </rPh>
    <rPh sb="43" eb="45">
      <t>カンバツ</t>
    </rPh>
    <phoneticPr fontId="4"/>
  </si>
  <si>
    <t>　　　　　　　 （の直線近似）と同じ割合で増加すると仮定した。</t>
    <rPh sb="16" eb="17">
      <t>オナ</t>
    </rPh>
    <rPh sb="18" eb="20">
      <t>ワリアイ</t>
    </rPh>
    <rPh sb="21" eb="23">
      <t>ゾウカ</t>
    </rPh>
    <rPh sb="26" eb="28">
      <t>カテイ</t>
    </rPh>
    <phoneticPr fontId="4"/>
  </si>
  <si>
    <t>　　　　　※2：面積当たり伐採材積（天然林皆伐）と利用率（利用間伐）は、期間中同じ値とした。</t>
    <rPh sb="18" eb="20">
      <t>テンネン</t>
    </rPh>
    <rPh sb="36" eb="38">
      <t>キカン</t>
    </rPh>
    <rPh sb="38" eb="39">
      <t>ナカ</t>
    </rPh>
    <rPh sb="39" eb="40">
      <t>オナ</t>
    </rPh>
    <rPh sb="41" eb="42">
      <t>アタイ</t>
    </rPh>
    <phoneticPr fontId="4"/>
  </si>
  <si>
    <t>　　　　　※3：利用率（人工林皆伐）は、85%以下と仮定した。</t>
    <rPh sb="8" eb="11">
      <t>リヨウリツ</t>
    </rPh>
    <rPh sb="12" eb="14">
      <t>ジンコウ</t>
    </rPh>
    <rPh sb="14" eb="15">
      <t>リン</t>
    </rPh>
    <rPh sb="15" eb="17">
      <t>カイバツ</t>
    </rPh>
    <rPh sb="23" eb="25">
      <t>イカ</t>
    </rPh>
    <rPh sb="26" eb="28">
      <t>カテイ</t>
    </rPh>
    <phoneticPr fontId="4"/>
  </si>
  <si>
    <t>　　　・関係 ：記載の関係式で求めた。</t>
    <rPh sb="8" eb="10">
      <t>キサイ</t>
    </rPh>
    <rPh sb="11" eb="13">
      <t>カンケイ</t>
    </rPh>
    <rPh sb="13" eb="14">
      <t>シキ</t>
    </rPh>
    <rPh sb="15" eb="16">
      <t>モト</t>
    </rPh>
    <phoneticPr fontId="4"/>
  </si>
  <si>
    <t>　　　・仮定 ：式を仮定した。</t>
    <rPh sb="4" eb="6">
      <t>カテイ</t>
    </rPh>
    <rPh sb="8" eb="9">
      <t>シキ</t>
    </rPh>
    <rPh sb="10" eb="12">
      <t>カテイ</t>
    </rPh>
    <phoneticPr fontId="4"/>
  </si>
  <si>
    <t>x/b</t>
    <phoneticPr fontId="4"/>
  </si>
  <si>
    <t>y/c</t>
    <phoneticPr fontId="4"/>
  </si>
  <si>
    <t>n/(m+n)</t>
    <phoneticPr fontId="4"/>
  </si>
  <si>
    <t>f/d</t>
    <phoneticPr fontId="4"/>
  </si>
  <si>
    <t>植伐データ再現用に設定した2010年森林資源の値と伐採面積率等の推定値</t>
    <rPh sb="9" eb="11">
      <t>セッテイ</t>
    </rPh>
    <rPh sb="17" eb="18">
      <t>ネン</t>
    </rPh>
    <rPh sb="18" eb="20">
      <t>シンリン</t>
    </rPh>
    <rPh sb="20" eb="22">
      <t>シゲン</t>
    </rPh>
    <rPh sb="23" eb="24">
      <t>アタイ</t>
    </rPh>
    <rPh sb="25" eb="27">
      <t>バッサイ</t>
    </rPh>
    <rPh sb="27" eb="29">
      <t>メンセキ</t>
    </rPh>
    <rPh sb="29" eb="30">
      <t>リツ</t>
    </rPh>
    <rPh sb="30" eb="31">
      <t>ナド</t>
    </rPh>
    <rPh sb="32" eb="35">
      <t>スイテイチ</t>
    </rPh>
    <phoneticPr fontId="4"/>
  </si>
  <si>
    <t>計</t>
  </si>
  <si>
    <t>1齢級</t>
    <rPh sb="1" eb="2">
      <t>レイ</t>
    </rPh>
    <rPh sb="2" eb="3">
      <t>キュウ</t>
    </rPh>
    <phoneticPr fontId="4"/>
  </si>
  <si>
    <t>19以上</t>
    <rPh sb="2" eb="4">
      <t>イジョウ</t>
    </rPh>
    <phoneticPr fontId="4"/>
  </si>
  <si>
    <t>(20以上)</t>
    <phoneticPr fontId="4"/>
  </si>
  <si>
    <t>人工林面積(2010年) (千ha)</t>
    <rPh sb="0" eb="2">
      <t>ジンコウ</t>
    </rPh>
    <rPh sb="2" eb="3">
      <t>リン</t>
    </rPh>
    <rPh sb="3" eb="5">
      <t>メンセキ</t>
    </rPh>
    <rPh sb="10" eb="11">
      <t>ネン</t>
    </rPh>
    <rPh sb="14" eb="15">
      <t>セン</t>
    </rPh>
    <phoneticPr fontId="4"/>
  </si>
  <si>
    <t>設定 ※1</t>
    <phoneticPr fontId="4"/>
  </si>
  <si>
    <t>　〃　面積当たり蓄積 (m3/ha)</t>
    <rPh sb="3" eb="5">
      <t>メンセキ</t>
    </rPh>
    <rPh sb="5" eb="6">
      <t>ア</t>
    </rPh>
    <phoneticPr fontId="4"/>
  </si>
  <si>
    <t>設定 ※2</t>
    <phoneticPr fontId="4"/>
  </si>
  <si>
    <t>伐採面積率(人工林皆伐) (前期の一つ下の齢級面積に対する%，年当たり)</t>
    <rPh sb="0" eb="2">
      <t>バッサイ</t>
    </rPh>
    <rPh sb="2" eb="4">
      <t>メンセキ</t>
    </rPh>
    <rPh sb="4" eb="5">
      <t>リツ</t>
    </rPh>
    <rPh sb="6" eb="8">
      <t>ジンコウ</t>
    </rPh>
    <rPh sb="8" eb="9">
      <t>リン</t>
    </rPh>
    <rPh sb="9" eb="11">
      <t>カイバツ</t>
    </rPh>
    <rPh sb="14" eb="16">
      <t>ゼンキ</t>
    </rPh>
    <rPh sb="17" eb="18">
      <t>ヒト</t>
    </rPh>
    <rPh sb="19" eb="20">
      <t>シタ</t>
    </rPh>
    <rPh sb="21" eb="22">
      <t>レイ</t>
    </rPh>
    <rPh sb="22" eb="23">
      <t>キュウ</t>
    </rPh>
    <rPh sb="23" eb="25">
      <t>メンセキ</t>
    </rPh>
    <rPh sb="26" eb="27">
      <t>タイ</t>
    </rPh>
    <rPh sb="31" eb="32">
      <t>ネン</t>
    </rPh>
    <rPh sb="32" eb="33">
      <t>ア</t>
    </rPh>
    <phoneticPr fontId="4"/>
  </si>
  <si>
    <t>求解 ※3</t>
    <rPh sb="0" eb="1">
      <t>モトム</t>
    </rPh>
    <rPh sb="1" eb="2">
      <t>カイ</t>
    </rPh>
    <phoneticPr fontId="4"/>
  </si>
  <si>
    <t>　　〃　　(切捨間伐)</t>
    <phoneticPr fontId="4"/>
  </si>
  <si>
    <t>〃</t>
    <phoneticPr fontId="4"/>
  </si>
  <si>
    <t>　　〃　　(利用間伐)</t>
    <rPh sb="6" eb="8">
      <t>リヨウ</t>
    </rPh>
    <rPh sb="8" eb="10">
      <t>カンバツ</t>
    </rPh>
    <phoneticPr fontId="4"/>
  </si>
  <si>
    <t>皆伐面積(人工林) (千ha/年)</t>
    <rPh sb="0" eb="2">
      <t>カイバツ</t>
    </rPh>
    <rPh sb="2" eb="4">
      <t>メンセキ</t>
    </rPh>
    <rPh sb="5" eb="7">
      <t>ジンコウ</t>
    </rPh>
    <rPh sb="7" eb="8">
      <t>リン</t>
    </rPh>
    <rPh sb="11" eb="12">
      <t>セン</t>
    </rPh>
    <rPh sb="15" eb="16">
      <t>ネン</t>
    </rPh>
    <phoneticPr fontId="4"/>
  </si>
  <si>
    <t>関係 ※4</t>
    <rPh sb="0" eb="2">
      <t>カンケイ</t>
    </rPh>
    <phoneticPr fontId="4"/>
  </si>
  <si>
    <t>間伐面積(切捨)</t>
    <phoneticPr fontId="4"/>
  </si>
  <si>
    <t>〃</t>
    <phoneticPr fontId="4"/>
  </si>
  <si>
    <t>間伐面積(利用)</t>
    <rPh sb="0" eb="2">
      <t>カンバツ</t>
    </rPh>
    <rPh sb="2" eb="4">
      <t>メンセキ</t>
    </rPh>
    <rPh sb="5" eb="7">
      <t>リヨウ</t>
    </rPh>
    <phoneticPr fontId="4"/>
  </si>
  <si>
    <t>材積間伐率(切捨)</t>
    <phoneticPr fontId="4"/>
  </si>
  <si>
    <t>求解 ※5</t>
    <rPh sb="0" eb="1">
      <t>モトム</t>
    </rPh>
    <rPh sb="1" eb="2">
      <t>カイ</t>
    </rPh>
    <phoneticPr fontId="4"/>
  </si>
  <si>
    <t>材積間伐率(利用)</t>
    <rPh sb="0" eb="2">
      <t>ザイセキ</t>
    </rPh>
    <rPh sb="2" eb="4">
      <t>カンバツ</t>
    </rPh>
    <rPh sb="4" eb="5">
      <t>リツ</t>
    </rPh>
    <rPh sb="6" eb="8">
      <t>リヨウ</t>
    </rPh>
    <phoneticPr fontId="4"/>
  </si>
  <si>
    <t>〃</t>
    <phoneticPr fontId="4"/>
  </si>
  <si>
    <t>天然林面積(2010年) (千ha)</t>
    <rPh sb="10" eb="11">
      <t>ネン</t>
    </rPh>
    <phoneticPr fontId="4"/>
  </si>
  <si>
    <t>設定 ※6</t>
    <rPh sb="0" eb="2">
      <t>セッテイ</t>
    </rPh>
    <phoneticPr fontId="4"/>
  </si>
  <si>
    <t>伐採面積率(天然林) (%/年)</t>
    <rPh sb="0" eb="2">
      <t>バッサイ</t>
    </rPh>
    <rPh sb="2" eb="4">
      <t>メンセキ</t>
    </rPh>
    <rPh sb="4" eb="5">
      <t>リツ</t>
    </rPh>
    <rPh sb="6" eb="9">
      <t>テンネンリン</t>
    </rPh>
    <rPh sb="14" eb="15">
      <t>ネン</t>
    </rPh>
    <phoneticPr fontId="4"/>
  </si>
  <si>
    <t>関係 ※7</t>
    <rPh sb="0" eb="2">
      <t>カンケイ</t>
    </rPh>
    <phoneticPr fontId="4"/>
  </si>
  <si>
    <t>植伐データの実績値（Table9 の統計値・推定値）と2010年森林資源から再現した値との比較 (2010～2014年平均)</t>
    <rPh sb="0" eb="2">
      <t>ショクバツ</t>
    </rPh>
    <rPh sb="6" eb="8">
      <t>ジッセキ</t>
    </rPh>
    <rPh sb="8" eb="9">
      <t>アタイ</t>
    </rPh>
    <rPh sb="18" eb="20">
      <t>トウケイ</t>
    </rPh>
    <rPh sb="20" eb="21">
      <t>アタイ</t>
    </rPh>
    <rPh sb="22" eb="25">
      <t>スイテイチ</t>
    </rPh>
    <rPh sb="31" eb="32">
      <t>ネン</t>
    </rPh>
    <rPh sb="32" eb="34">
      <t>シンリン</t>
    </rPh>
    <rPh sb="34" eb="36">
      <t>シゲン</t>
    </rPh>
    <rPh sb="38" eb="40">
      <t>サイゲン</t>
    </rPh>
    <rPh sb="42" eb="43">
      <t>アタイ</t>
    </rPh>
    <rPh sb="45" eb="47">
      <t>ヒカク</t>
    </rPh>
    <rPh sb="58" eb="59">
      <t>ネン</t>
    </rPh>
    <rPh sb="59" eb="61">
      <t>ヘイキン</t>
    </rPh>
    <phoneticPr fontId="4"/>
  </si>
  <si>
    <t>皆伐面積 (千ha)</t>
    <rPh sb="6" eb="7">
      <t>セン</t>
    </rPh>
    <phoneticPr fontId="4"/>
  </si>
  <si>
    <t>間伐面積 (千ha)</t>
    <rPh sb="0" eb="2">
      <t>カンバツ</t>
    </rPh>
    <rPh sb="2" eb="4">
      <t>メンセキ</t>
    </rPh>
    <phoneticPr fontId="4"/>
  </si>
  <si>
    <t>切捨</t>
    <rPh sb="0" eb="2">
      <t>キリス</t>
    </rPh>
    <phoneticPr fontId="4"/>
  </si>
  <si>
    <t>人工林
皆伐</t>
    <phoneticPr fontId="4"/>
  </si>
  <si>
    <t>切捨
間伐</t>
  </si>
  <si>
    <t>利用
間伐</t>
    <rPh sb="0" eb="2">
      <t>リヨウ</t>
    </rPh>
    <phoneticPr fontId="4"/>
  </si>
  <si>
    <t>天然林
皆伐</t>
    <phoneticPr fontId="4"/>
  </si>
  <si>
    <t>天然林
皆伐</t>
    <phoneticPr fontId="4"/>
  </si>
  <si>
    <t>人工林
皆伐</t>
    <phoneticPr fontId="4"/>
  </si>
  <si>
    <t>利用
間伐</t>
    <phoneticPr fontId="4"/>
  </si>
  <si>
    <t>実績値</t>
    <rPh sb="0" eb="2">
      <t>ジッセキ</t>
    </rPh>
    <rPh sb="2" eb="3">
      <t>アタイ</t>
    </rPh>
    <phoneticPr fontId="4"/>
  </si>
  <si>
    <t>再現値</t>
    <rPh sb="0" eb="2">
      <t>サイゲン</t>
    </rPh>
    <rPh sb="2" eb="3">
      <t>アタイ</t>
    </rPh>
    <phoneticPr fontId="4"/>
  </si>
  <si>
    <t>再現値の対実績値差 ※8</t>
    <rPh sb="0" eb="2">
      <t>サイゲン</t>
    </rPh>
    <rPh sb="2" eb="3">
      <t>アタイ</t>
    </rPh>
    <rPh sb="4" eb="5">
      <t>タイ</t>
    </rPh>
    <rPh sb="5" eb="8">
      <t>ジッセキチ</t>
    </rPh>
    <rPh sb="8" eb="9">
      <t>サ</t>
    </rPh>
    <phoneticPr fontId="4"/>
  </si>
  <si>
    <t>(再掲：Table9 の推定値)</t>
    <rPh sb="1" eb="3">
      <t>サイケイ</t>
    </rPh>
    <rPh sb="12" eb="15">
      <t>スイテイチ</t>
    </rPh>
    <phoneticPr fontId="4"/>
  </si>
  <si>
    <t>再造林</t>
    <rPh sb="0" eb="1">
      <t>サイ</t>
    </rPh>
    <rPh sb="1" eb="3">
      <t>ゾウリン</t>
    </rPh>
    <phoneticPr fontId="4"/>
  </si>
  <si>
    <t>皆伐</t>
    <phoneticPr fontId="4"/>
  </si>
  <si>
    <t>間伐</t>
    <phoneticPr fontId="4"/>
  </si>
  <si>
    <t>皆伐</t>
    <phoneticPr fontId="4"/>
  </si>
  <si>
    <t>（注1）本表は，再現値の対実績値差の二乗和がなるべく小さくなるよう，Table9 と合わせて求解対象の値をExcelソルバーを援用して求めた結果である。</t>
    <rPh sb="1" eb="2">
      <t>チュウ</t>
    </rPh>
    <rPh sb="4" eb="5">
      <t>ホン</t>
    </rPh>
    <rPh sb="5" eb="6">
      <t>オモテ</t>
    </rPh>
    <rPh sb="8" eb="10">
      <t>サイゲン</t>
    </rPh>
    <rPh sb="10" eb="11">
      <t>アタイ</t>
    </rPh>
    <rPh sb="12" eb="13">
      <t>タイ</t>
    </rPh>
    <rPh sb="13" eb="16">
      <t>ジッセキチ</t>
    </rPh>
    <rPh sb="16" eb="17">
      <t>サ</t>
    </rPh>
    <rPh sb="18" eb="20">
      <t>ニジョウ</t>
    </rPh>
    <rPh sb="20" eb="21">
      <t>ワ</t>
    </rPh>
    <rPh sb="26" eb="27">
      <t>チイ</t>
    </rPh>
    <rPh sb="42" eb="43">
      <t>ア</t>
    </rPh>
    <rPh sb="46" eb="47">
      <t>モト</t>
    </rPh>
    <rPh sb="47" eb="48">
      <t>カイ</t>
    </rPh>
    <rPh sb="48" eb="50">
      <t>タイショウ</t>
    </rPh>
    <rPh sb="51" eb="52">
      <t>アタイ</t>
    </rPh>
    <rPh sb="63" eb="65">
      <t>エンヨウ</t>
    </rPh>
    <rPh sb="67" eb="68">
      <t>モト</t>
    </rPh>
    <rPh sb="70" eb="72">
      <t>ケッカ</t>
    </rPh>
    <phoneticPr fontId="4"/>
  </si>
  <si>
    <t>（注2）方法の欄に，以下の推定方法を記した（詳細は本文を参照）。</t>
    <rPh sb="1" eb="2">
      <t>チュウ</t>
    </rPh>
    <rPh sb="4" eb="6">
      <t>ホウホウ</t>
    </rPh>
    <rPh sb="7" eb="8">
      <t>ラン</t>
    </rPh>
    <rPh sb="10" eb="12">
      <t>イカ</t>
    </rPh>
    <rPh sb="13" eb="15">
      <t>スイテイ</t>
    </rPh>
    <rPh sb="15" eb="17">
      <t>ホウホウ</t>
    </rPh>
    <rPh sb="18" eb="19">
      <t>シル</t>
    </rPh>
    <rPh sb="22" eb="24">
      <t>ショウサイ</t>
    </rPh>
    <rPh sb="25" eb="27">
      <t>ホンブン</t>
    </rPh>
    <rPh sb="28" eb="30">
      <t>サンショウ</t>
    </rPh>
    <phoneticPr fontId="4"/>
  </si>
  <si>
    <t>　　※1：2010年の人工林齢級別面積は，「森林資源の現況」の2007年・12年の人工林齢級別面積から補間で算出した。</t>
    <rPh sb="9" eb="10">
      <t>ネン</t>
    </rPh>
    <rPh sb="11" eb="13">
      <t>ジンコウ</t>
    </rPh>
    <rPh sb="13" eb="14">
      <t>リン</t>
    </rPh>
    <rPh sb="14" eb="15">
      <t>レイ</t>
    </rPh>
    <rPh sb="15" eb="16">
      <t>キュウ</t>
    </rPh>
    <rPh sb="16" eb="17">
      <t>ベツ</t>
    </rPh>
    <rPh sb="17" eb="19">
      <t>メンセキ</t>
    </rPh>
    <rPh sb="22" eb="24">
      <t>シンリン</t>
    </rPh>
    <rPh sb="24" eb="26">
      <t>シゲン</t>
    </rPh>
    <rPh sb="27" eb="29">
      <t>ゲンキョウ</t>
    </rPh>
    <rPh sb="35" eb="36">
      <t>ネン</t>
    </rPh>
    <rPh sb="39" eb="40">
      <t>ネン</t>
    </rPh>
    <rPh sb="41" eb="43">
      <t>ジンコウ</t>
    </rPh>
    <rPh sb="43" eb="44">
      <t>リン</t>
    </rPh>
    <rPh sb="44" eb="45">
      <t>レイ</t>
    </rPh>
    <rPh sb="45" eb="46">
      <t>キュウ</t>
    </rPh>
    <rPh sb="46" eb="47">
      <t>ベツ</t>
    </rPh>
    <rPh sb="47" eb="49">
      <t>メンセキ</t>
    </rPh>
    <rPh sb="51" eb="53">
      <t>ホカン</t>
    </rPh>
    <rPh sb="54" eb="56">
      <t>サンシュツ</t>
    </rPh>
    <phoneticPr fontId="4"/>
  </si>
  <si>
    <t>　　　　 ただし，1～3齢級面積は，過去の人工造林面積を充てた。</t>
    <rPh sb="12" eb="13">
      <t>レイ</t>
    </rPh>
    <rPh sb="13" eb="14">
      <t>キュウ</t>
    </rPh>
    <rPh sb="14" eb="16">
      <t>メンセキ</t>
    </rPh>
    <rPh sb="18" eb="20">
      <t>カコ</t>
    </rPh>
    <rPh sb="21" eb="23">
      <t>ジンコウ</t>
    </rPh>
    <rPh sb="23" eb="25">
      <t>ゾウリン</t>
    </rPh>
    <rPh sb="25" eb="27">
      <t>メンセキ</t>
    </rPh>
    <rPh sb="28" eb="29">
      <t>ア</t>
    </rPh>
    <phoneticPr fontId="4"/>
  </si>
  <si>
    <t>　　※2：2010年の人工林齢級別面積当たり蓄積は，2010年蓄積を※1と同様に算出し，これを面積で割って算出した。</t>
    <rPh sb="9" eb="10">
      <t>ネン</t>
    </rPh>
    <rPh sb="11" eb="13">
      <t>ジンコウ</t>
    </rPh>
    <rPh sb="13" eb="14">
      <t>リン</t>
    </rPh>
    <rPh sb="14" eb="15">
      <t>レイ</t>
    </rPh>
    <rPh sb="15" eb="16">
      <t>キュウ</t>
    </rPh>
    <rPh sb="16" eb="17">
      <t>ベツ</t>
    </rPh>
    <rPh sb="17" eb="19">
      <t>メンセキ</t>
    </rPh>
    <rPh sb="19" eb="20">
      <t>ア</t>
    </rPh>
    <rPh sb="22" eb="24">
      <t>チクセキ</t>
    </rPh>
    <rPh sb="30" eb="31">
      <t>ネン</t>
    </rPh>
    <rPh sb="31" eb="33">
      <t>チクセキ</t>
    </rPh>
    <rPh sb="40" eb="42">
      <t>サンシュツ</t>
    </rPh>
    <rPh sb="47" eb="49">
      <t>メンセキ</t>
    </rPh>
    <rPh sb="50" eb="51">
      <t>ワ</t>
    </rPh>
    <rPh sb="53" eb="55">
      <t>サンシュツ</t>
    </rPh>
    <phoneticPr fontId="4"/>
  </si>
  <si>
    <t>　　　　 ただし，高齢級の値が低齢級の値より低い場合は，低齢級の値を充てた。</t>
    <rPh sb="9" eb="11">
      <t>コウレイ</t>
    </rPh>
    <rPh sb="11" eb="12">
      <t>キュウ</t>
    </rPh>
    <rPh sb="13" eb="14">
      <t>アタイ</t>
    </rPh>
    <rPh sb="15" eb="16">
      <t>テイ</t>
    </rPh>
    <rPh sb="16" eb="17">
      <t>レイ</t>
    </rPh>
    <rPh sb="17" eb="18">
      <t>キュウ</t>
    </rPh>
    <rPh sb="19" eb="20">
      <t>アタイ</t>
    </rPh>
    <rPh sb="22" eb="23">
      <t>ヒク</t>
    </rPh>
    <rPh sb="24" eb="26">
      <t>バアイ</t>
    </rPh>
    <rPh sb="28" eb="29">
      <t>テイ</t>
    </rPh>
    <rPh sb="29" eb="30">
      <t>レイ</t>
    </rPh>
    <rPh sb="30" eb="31">
      <t>キュウ</t>
    </rPh>
    <rPh sb="32" eb="33">
      <t>アタイ</t>
    </rPh>
    <rPh sb="34" eb="35">
      <t>ア</t>
    </rPh>
    <phoneticPr fontId="4"/>
  </si>
  <si>
    <t>　　　　 また，伐採材積の計算時は，齢級間の平均値を用い，20齢級以上は19齢級と同じ値とした。</t>
    <rPh sb="8" eb="10">
      <t>バッサイ</t>
    </rPh>
    <rPh sb="10" eb="12">
      <t>ザイセキ</t>
    </rPh>
    <rPh sb="13" eb="15">
      <t>ケイサン</t>
    </rPh>
    <rPh sb="15" eb="16">
      <t>トキ</t>
    </rPh>
    <rPh sb="18" eb="19">
      <t>レイ</t>
    </rPh>
    <rPh sb="19" eb="20">
      <t>キュウ</t>
    </rPh>
    <rPh sb="20" eb="21">
      <t>アイダ</t>
    </rPh>
    <rPh sb="22" eb="24">
      <t>ヘイキン</t>
    </rPh>
    <rPh sb="24" eb="25">
      <t>アタイ</t>
    </rPh>
    <rPh sb="26" eb="27">
      <t>モチ</t>
    </rPh>
    <phoneticPr fontId="4"/>
  </si>
  <si>
    <t>　　※3：人工林の齢級別伐採面積率(皆伐，利用間伐，切捨間伐)は，値のパターンを想定し，Excelソルバーを援用して値を求めた。</t>
    <rPh sb="5" eb="7">
      <t>ジンコウ</t>
    </rPh>
    <rPh sb="7" eb="8">
      <t>リン</t>
    </rPh>
    <rPh sb="9" eb="10">
      <t>レイ</t>
    </rPh>
    <rPh sb="10" eb="11">
      <t>キュウ</t>
    </rPh>
    <rPh sb="11" eb="12">
      <t>ベツ</t>
    </rPh>
    <rPh sb="12" eb="14">
      <t>バッサイ</t>
    </rPh>
    <rPh sb="14" eb="16">
      <t>メンセキ</t>
    </rPh>
    <rPh sb="16" eb="17">
      <t>リツ</t>
    </rPh>
    <rPh sb="18" eb="20">
      <t>カイバツ</t>
    </rPh>
    <rPh sb="21" eb="23">
      <t>リヨウ</t>
    </rPh>
    <rPh sb="23" eb="25">
      <t>カンバツ</t>
    </rPh>
    <rPh sb="26" eb="28">
      <t>キリス</t>
    </rPh>
    <rPh sb="28" eb="30">
      <t>カンバツ</t>
    </rPh>
    <rPh sb="33" eb="34">
      <t>アタイ</t>
    </rPh>
    <rPh sb="40" eb="42">
      <t>ソウテイ</t>
    </rPh>
    <rPh sb="54" eb="56">
      <t>エンヨウ</t>
    </rPh>
    <rPh sb="58" eb="59">
      <t>アタイ</t>
    </rPh>
    <rPh sb="60" eb="61">
      <t>モト</t>
    </rPh>
    <phoneticPr fontId="4"/>
  </si>
  <si>
    <t>　　※4：皆伐面積・間伐面積は，(人工林齢級別面積)×(伐採面積率) の関係式で求めた。</t>
    <rPh sb="5" eb="7">
      <t>カイバツ</t>
    </rPh>
    <rPh sb="7" eb="9">
      <t>メンセキ</t>
    </rPh>
    <rPh sb="10" eb="12">
      <t>カンバツ</t>
    </rPh>
    <rPh sb="12" eb="14">
      <t>メンセキ</t>
    </rPh>
    <rPh sb="17" eb="19">
      <t>ジンコウ</t>
    </rPh>
    <rPh sb="19" eb="20">
      <t>リン</t>
    </rPh>
    <rPh sb="20" eb="21">
      <t>レイ</t>
    </rPh>
    <rPh sb="21" eb="22">
      <t>キュウ</t>
    </rPh>
    <rPh sb="22" eb="23">
      <t>ベツ</t>
    </rPh>
    <rPh sb="23" eb="25">
      <t>メンセキ</t>
    </rPh>
    <rPh sb="28" eb="30">
      <t>バッサイ</t>
    </rPh>
    <rPh sb="30" eb="32">
      <t>メンセキ</t>
    </rPh>
    <rPh sb="32" eb="33">
      <t>リツ</t>
    </rPh>
    <rPh sb="36" eb="38">
      <t>カンケイ</t>
    </rPh>
    <rPh sb="38" eb="39">
      <t>シキ</t>
    </rPh>
    <rPh sb="40" eb="41">
      <t>モト</t>
    </rPh>
    <phoneticPr fontId="4"/>
  </si>
  <si>
    <t>　　※5：材積間伐率は，(利用)≧(切捨) を仮定し，Excelソルバーを援用して値を求めた。</t>
    <rPh sb="5" eb="7">
      <t>ザイセキ</t>
    </rPh>
    <rPh sb="7" eb="9">
      <t>カンバツ</t>
    </rPh>
    <rPh sb="9" eb="10">
      <t>リツ</t>
    </rPh>
    <rPh sb="13" eb="15">
      <t>リヨウ</t>
    </rPh>
    <rPh sb="18" eb="20">
      <t>キリス</t>
    </rPh>
    <rPh sb="23" eb="25">
      <t>カテイ</t>
    </rPh>
    <phoneticPr fontId="4"/>
  </si>
  <si>
    <t>　　※6：2010年の天然林面積は，※1と同様に補間で算出した。</t>
    <rPh sb="9" eb="10">
      <t>ネン</t>
    </rPh>
    <rPh sb="11" eb="14">
      <t>テンネンリン</t>
    </rPh>
    <rPh sb="14" eb="16">
      <t>メンセキ</t>
    </rPh>
    <rPh sb="21" eb="23">
      <t>ドウヨウ</t>
    </rPh>
    <rPh sb="24" eb="26">
      <t>ホカン</t>
    </rPh>
    <rPh sb="27" eb="29">
      <t>サンシュツ</t>
    </rPh>
    <phoneticPr fontId="4"/>
  </si>
  <si>
    <t>　　※7：天然林の伐採面積率は，(Table9 で推定される天然林皆伐面積)÷(天然林面積) の関係式で求めた。</t>
    <rPh sb="5" eb="8">
      <t>テンネンリン</t>
    </rPh>
    <rPh sb="9" eb="11">
      <t>バッサイ</t>
    </rPh>
    <rPh sb="11" eb="13">
      <t>メンセキ</t>
    </rPh>
    <rPh sb="13" eb="14">
      <t>リツ</t>
    </rPh>
    <rPh sb="25" eb="27">
      <t>スイテイ</t>
    </rPh>
    <rPh sb="30" eb="33">
      <t>テンネンリン</t>
    </rPh>
    <rPh sb="33" eb="35">
      <t>カイバツ</t>
    </rPh>
    <rPh sb="35" eb="37">
      <t>メンセキ</t>
    </rPh>
    <rPh sb="40" eb="43">
      <t>テンネンリン</t>
    </rPh>
    <rPh sb="43" eb="45">
      <t>メンセキ</t>
    </rPh>
    <rPh sb="48" eb="50">
      <t>カンケイ</t>
    </rPh>
    <rPh sb="50" eb="51">
      <t>シキ</t>
    </rPh>
    <rPh sb="52" eb="53">
      <t>モト</t>
    </rPh>
    <phoneticPr fontId="4"/>
  </si>
  <si>
    <t>　　※8：再現値が空白の項目は，Table9 の推定値をそのまま用いているもの。</t>
    <rPh sb="5" eb="7">
      <t>サイゲン</t>
    </rPh>
    <rPh sb="7" eb="8">
      <t>アタイ</t>
    </rPh>
    <rPh sb="9" eb="11">
      <t>クウハク</t>
    </rPh>
    <rPh sb="12" eb="14">
      <t>コウモク</t>
    </rPh>
    <rPh sb="24" eb="26">
      <t>スイテイ</t>
    </rPh>
    <rPh sb="32" eb="33">
      <t>モチ</t>
    </rPh>
    <phoneticPr fontId="4"/>
  </si>
  <si>
    <t>(人日/ha)</t>
    <rPh sb="1" eb="2">
      <t>ニン</t>
    </rPh>
    <rPh sb="2" eb="3">
      <t>ニチ</t>
    </rPh>
    <phoneticPr fontId="4"/>
  </si>
  <si>
    <t>従来</t>
    <rPh sb="0" eb="2">
      <t>ジュウライ</t>
    </rPh>
    <phoneticPr fontId="4"/>
  </si>
  <si>
    <t>省力</t>
    <rPh sb="0" eb="2">
      <t>ショウリョク</t>
    </rPh>
    <phoneticPr fontId="4"/>
  </si>
  <si>
    <t>地拵植付
(2500本/ha)</t>
    <rPh sb="0" eb="2">
      <t>ジゴシラ</t>
    </rPh>
    <rPh sb="2" eb="4">
      <t>ウエツケ</t>
    </rPh>
    <rPh sb="10" eb="11">
      <t>ホン</t>
    </rPh>
    <phoneticPr fontId="4"/>
  </si>
  <si>
    <t>地拵植付 (機械地拵, コンテナ苗, 2500本/ha)</t>
    <rPh sb="0" eb="2">
      <t>ジゴシラ</t>
    </rPh>
    <rPh sb="2" eb="4">
      <t>ウエツケ</t>
    </rPh>
    <rPh sb="6" eb="8">
      <t>キカイ</t>
    </rPh>
    <rPh sb="8" eb="9">
      <t>チ</t>
    </rPh>
    <rPh sb="9" eb="10">
      <t>コシラ</t>
    </rPh>
    <rPh sb="16" eb="17">
      <t>ナエ</t>
    </rPh>
    <rPh sb="23" eb="24">
      <t>ホン</t>
    </rPh>
    <phoneticPr fontId="4"/>
  </si>
  <si>
    <t>除伐</t>
    <rPh sb="0" eb="2">
      <t>ジョバツ</t>
    </rPh>
    <phoneticPr fontId="4"/>
  </si>
  <si>
    <t>（左に同じ）</t>
    <rPh sb="1" eb="2">
      <t>ヒダリ</t>
    </rPh>
    <rPh sb="3" eb="4">
      <t>オナ</t>
    </rPh>
    <phoneticPr fontId="4"/>
  </si>
  <si>
    <t>（資料）：「森林環境保全直接支援事業環境林整備事業 作業工程表(平成30年3月) 」（林野庁整備課 2018）を基に筆者が設定</t>
    <rPh sb="1" eb="3">
      <t>シリョウ</t>
    </rPh>
    <rPh sb="56" eb="57">
      <t>モト</t>
    </rPh>
    <rPh sb="58" eb="60">
      <t>ヒッシャ</t>
    </rPh>
    <rPh sb="61" eb="63">
      <t>セッテイ</t>
    </rPh>
    <phoneticPr fontId="4"/>
  </si>
  <si>
    <t>実績値推移</t>
    <rPh sb="0" eb="3">
      <t>ジッセキチ</t>
    </rPh>
    <rPh sb="3" eb="5">
      <t>スイイ</t>
    </rPh>
    <phoneticPr fontId="4"/>
  </si>
  <si>
    <t>皆伐
全樹種計</t>
    <rPh sb="0" eb="2">
      <t>カイバツ</t>
    </rPh>
    <rPh sb="3" eb="4">
      <t>ゼン</t>
    </rPh>
    <rPh sb="4" eb="6">
      <t>ジュシュ</t>
    </rPh>
    <rPh sb="6" eb="7">
      <t>ケイ</t>
    </rPh>
    <phoneticPr fontId="13"/>
  </si>
  <si>
    <t>間伐
全樹種計</t>
    <rPh sb="0" eb="2">
      <t>カンバツ</t>
    </rPh>
    <rPh sb="3" eb="4">
      <t>ゼン</t>
    </rPh>
    <rPh sb="4" eb="6">
      <t>ジュシュ</t>
    </rPh>
    <rPh sb="6" eb="7">
      <t>ケイ</t>
    </rPh>
    <phoneticPr fontId="13"/>
  </si>
  <si>
    <t>資料：平成28年次素材生産事例調（林野庁企画課）</t>
    <rPh sb="0" eb="2">
      <t>シリョウ</t>
    </rPh>
    <rPh sb="17" eb="19">
      <t>リンヤ</t>
    </rPh>
    <rPh sb="19" eb="20">
      <t>チョウ</t>
    </rPh>
    <rPh sb="20" eb="22">
      <t>キカク</t>
    </rPh>
    <rPh sb="22" eb="23">
      <t>カ</t>
    </rPh>
    <phoneticPr fontId="4"/>
  </si>
  <si>
    <t>皆伐</t>
    <rPh sb="0" eb="2">
      <t>カイバツ</t>
    </rPh>
    <phoneticPr fontId="4"/>
  </si>
  <si>
    <t>利用間伐</t>
    <rPh sb="0" eb="2">
      <t>リヨウ</t>
    </rPh>
    <rPh sb="2" eb="4">
      <t>カンバツ</t>
    </rPh>
    <phoneticPr fontId="4"/>
  </si>
  <si>
    <t>2010-14</t>
  </si>
  <si>
    <t>2015-19</t>
  </si>
  <si>
    <t>2020-24</t>
  </si>
  <si>
    <t>2025-29</t>
  </si>
  <si>
    <t>2030-34</t>
  </si>
  <si>
    <t>2035-39</t>
  </si>
  <si>
    <t>2040-44</t>
  </si>
  <si>
    <t>2045-49</t>
  </si>
  <si>
    <t>資料：筆者設定</t>
    <rPh sb="0" eb="2">
      <t>シリョウ</t>
    </rPh>
    <rPh sb="3" eb="5">
      <t>ヒッシャ</t>
    </rPh>
    <rPh sb="5" eb="7">
      <t>セッテイ</t>
    </rPh>
    <phoneticPr fontId="4"/>
  </si>
  <si>
    <t>Table 12　皆伐・間伐の素材生産性の推移と設定値</t>
    <rPh sb="9" eb="11">
      <t>カイバツ</t>
    </rPh>
    <rPh sb="12" eb="14">
      <t>カンバツ</t>
    </rPh>
    <rPh sb="15" eb="17">
      <t>ソザイ</t>
    </rPh>
    <rPh sb="17" eb="20">
      <t>セイサンセイ</t>
    </rPh>
    <rPh sb="21" eb="23">
      <t>スイイ</t>
    </rPh>
    <rPh sb="24" eb="27">
      <t>セッテイチ</t>
    </rPh>
    <phoneticPr fontId="4"/>
  </si>
  <si>
    <t>国産材需要</t>
    <rPh sb="0" eb="3">
      <t>コクサンザイ</t>
    </rPh>
    <rPh sb="3" eb="5">
      <t>ジュヨウ</t>
    </rPh>
    <phoneticPr fontId="4"/>
  </si>
  <si>
    <t>林業従事者数</t>
    <rPh sb="0" eb="2">
      <t>リンギョウ</t>
    </rPh>
    <rPh sb="2" eb="5">
      <t>ジュウジシャ</t>
    </rPh>
    <rPh sb="5" eb="6">
      <t>スウ</t>
    </rPh>
    <phoneticPr fontId="4"/>
  </si>
  <si>
    <t>素材生産性</t>
    <rPh sb="0" eb="2">
      <t>ソザイ</t>
    </rPh>
    <rPh sb="2" eb="5">
      <t>セイサンセイ</t>
    </rPh>
    <phoneticPr fontId="4"/>
  </si>
  <si>
    <t>推計1</t>
    <rPh sb="0" eb="2">
      <t>スイケイ</t>
    </rPh>
    <phoneticPr fontId="4"/>
  </si>
  <si>
    <t>推計2</t>
    <rPh sb="0" eb="2">
      <t>スイケイ</t>
    </rPh>
    <phoneticPr fontId="4"/>
  </si>
  <si>
    <t>推計3</t>
    <rPh sb="0" eb="2">
      <t>スイケイ</t>
    </rPh>
    <phoneticPr fontId="4"/>
  </si>
  <si>
    <t>推計2b</t>
    <rPh sb="0" eb="2">
      <t>スイケイ</t>
    </rPh>
    <phoneticPr fontId="4"/>
  </si>
  <si>
    <t>推計2c</t>
    <rPh sb="0" eb="2">
      <t>スイケイ</t>
    </rPh>
    <phoneticPr fontId="4"/>
  </si>
  <si>
    <t>想定需要</t>
    <rPh sb="0" eb="2">
      <t>ソウテイ</t>
    </rPh>
    <rPh sb="2" eb="4">
      <t>ジュヨウ</t>
    </rPh>
    <phoneticPr fontId="4"/>
  </si>
  <si>
    <t>計画相当需要</t>
    <rPh sb="0" eb="2">
      <t>ケイカク</t>
    </rPh>
    <rPh sb="2" eb="4">
      <t>ソウトウ</t>
    </rPh>
    <rPh sb="4" eb="6">
      <t>ジュヨウ</t>
    </rPh>
    <phoneticPr fontId="4"/>
  </si>
  <si>
    <t>ベースケース</t>
    <phoneticPr fontId="4"/>
  </si>
  <si>
    <t>若年層変化率1.5倍</t>
    <phoneticPr fontId="4"/>
  </si>
  <si>
    <t xml:space="preserve">
同
2倍</t>
    <rPh sb="1" eb="2">
      <t>ドウ</t>
    </rPh>
    <phoneticPr fontId="4"/>
  </si>
  <si>
    <t xml:space="preserve">
同
2.5倍</t>
    <rPh sb="1" eb="2">
      <t>ドウ</t>
    </rPh>
    <phoneticPr fontId="4"/>
  </si>
  <si>
    <t>木材
供給量</t>
    <phoneticPr fontId="4"/>
  </si>
  <si>
    <t>所要
労働量</t>
    <phoneticPr fontId="4"/>
  </si>
  <si>
    <t>皆伐
生産性</t>
    <rPh sb="0" eb="2">
      <t>カイバツ</t>
    </rPh>
    <rPh sb="3" eb="6">
      <t>セイサンセイ</t>
    </rPh>
    <phoneticPr fontId="4"/>
  </si>
  <si>
    <t>間伐
生産性</t>
    <rPh sb="0" eb="2">
      <t>カンバツ</t>
    </rPh>
    <rPh sb="3" eb="6">
      <t>セイサンセイ</t>
    </rPh>
    <phoneticPr fontId="4"/>
  </si>
  <si>
    <t xml:space="preserve">期間
</t>
    <rPh sb="0" eb="2">
      <t>キカン</t>
    </rPh>
    <phoneticPr fontId="4"/>
  </si>
  <si>
    <t>(百万人日)</t>
    <rPh sb="1" eb="3">
      <t>ヒャクマン</t>
    </rPh>
    <rPh sb="3" eb="4">
      <t>ニン</t>
    </rPh>
    <rPh sb="4" eb="5">
      <t>ニチ</t>
    </rPh>
    <phoneticPr fontId="4"/>
  </si>
  <si>
    <t>推計値（期間中の年平均）</t>
    <rPh sb="0" eb="3">
      <t>スイケイチ</t>
    </rPh>
    <rPh sb="4" eb="6">
      <t>キカン</t>
    </rPh>
    <rPh sb="6" eb="7">
      <t>ナカ</t>
    </rPh>
    <rPh sb="8" eb="9">
      <t>ネン</t>
    </rPh>
    <rPh sb="9" eb="11">
      <t>ヘイキン</t>
    </rPh>
    <phoneticPr fontId="4"/>
  </si>
  <si>
    <t>2010～14</t>
    <phoneticPr fontId="4"/>
  </si>
  <si>
    <t>2015～19</t>
  </si>
  <si>
    <t>2020～24</t>
  </si>
  <si>
    <t>2025～29</t>
  </si>
  <si>
    <t>指数（2010～14平均=100）</t>
    <rPh sb="0" eb="2">
      <t>シスウ</t>
    </rPh>
    <rPh sb="10" eb="12">
      <t>ヘイキン</t>
    </rPh>
    <phoneticPr fontId="4"/>
  </si>
  <si>
    <t>（注）2010～14年は実績値または筆者推計、2015年以降は筆者による将来推計。各推計の設定は以下のとおり。</t>
    <rPh sb="1" eb="2">
      <t>チュウ</t>
    </rPh>
    <rPh sb="10" eb="11">
      <t>ネン</t>
    </rPh>
    <rPh sb="12" eb="15">
      <t>ジッセキチ</t>
    </rPh>
    <rPh sb="18" eb="20">
      <t>ヒッシャ</t>
    </rPh>
    <rPh sb="20" eb="22">
      <t>スイケイ</t>
    </rPh>
    <rPh sb="27" eb="28">
      <t>ネン</t>
    </rPh>
    <rPh sb="28" eb="30">
      <t>イコウ</t>
    </rPh>
    <rPh sb="31" eb="33">
      <t>ヒッシャ</t>
    </rPh>
    <rPh sb="36" eb="38">
      <t>ショウライ</t>
    </rPh>
    <rPh sb="38" eb="40">
      <t>スイケイ</t>
    </rPh>
    <rPh sb="41" eb="42">
      <t>カク</t>
    </rPh>
    <rPh sb="42" eb="44">
      <t>スイケイ</t>
    </rPh>
    <rPh sb="45" eb="47">
      <t>セッテイ</t>
    </rPh>
    <rPh sb="48" eb="50">
      <t>イカ</t>
    </rPh>
    <phoneticPr fontId="4"/>
  </si>
  <si>
    <t>　　　推計1 ：なりゆきの場合（育林は従来型）</t>
    <rPh sb="3" eb="5">
      <t>スイケイ</t>
    </rPh>
    <rPh sb="13" eb="15">
      <t>バアイ</t>
    </rPh>
    <rPh sb="16" eb="18">
      <t>イクリン</t>
    </rPh>
    <rPh sb="19" eb="21">
      <t>ジュウライ</t>
    </rPh>
    <rPh sb="21" eb="22">
      <t>ガタ</t>
    </rPh>
    <phoneticPr fontId="4"/>
  </si>
  <si>
    <t>　　　推計2 ：想定需要を充たす木材供給を行う場合（育林は省力型）</t>
    <rPh sb="3" eb="5">
      <t>スイケイ</t>
    </rPh>
    <rPh sb="31" eb="32">
      <t>ガタ</t>
    </rPh>
    <phoneticPr fontId="4"/>
  </si>
  <si>
    <t>　　　推計3 ：計画相当需要を充たす木材供給を行う場合（育林は省力型）</t>
    <rPh sb="3" eb="5">
      <t>スイケイ</t>
    </rPh>
    <rPh sb="8" eb="10">
      <t>ケイカク</t>
    </rPh>
    <rPh sb="10" eb="12">
      <t>ソウトウ</t>
    </rPh>
    <rPh sb="33" eb="34">
      <t>ガタ</t>
    </rPh>
    <phoneticPr fontId="4"/>
  </si>
  <si>
    <t>　　　推計2b：推計2で，素材生産性向上加速により所要労働量をベースケース並みに抑える場合</t>
    <rPh sb="3" eb="5">
      <t>スイケイ</t>
    </rPh>
    <phoneticPr fontId="4"/>
  </si>
  <si>
    <t>　　　推計2c：推計2で，再造林率低下（49%→39%）により所要労働量をベースケース並みに抑える場合</t>
    <rPh sb="3" eb="5">
      <t>スイケイ</t>
    </rPh>
    <rPh sb="13" eb="16">
      <t>サイゾウリン</t>
    </rPh>
    <rPh sb="16" eb="17">
      <t>リツ</t>
    </rPh>
    <rPh sb="17" eb="19">
      <t>テイカ</t>
    </rPh>
    <phoneticPr fontId="4"/>
  </si>
  <si>
    <t>Table 13　国産材需要・林業従事者数・素材生産性の将来値および将来推計結果（推計1・2・3・2b・2c）の要約</t>
    <rPh sb="9" eb="12">
      <t>コクサンザイ</t>
    </rPh>
    <rPh sb="12" eb="14">
      <t>ジュヨウ</t>
    </rPh>
    <rPh sb="15" eb="17">
      <t>リンギョウ</t>
    </rPh>
    <rPh sb="17" eb="20">
      <t>ジュウジシャ</t>
    </rPh>
    <rPh sb="20" eb="21">
      <t>スウ</t>
    </rPh>
    <rPh sb="22" eb="24">
      <t>ソザイ</t>
    </rPh>
    <rPh sb="24" eb="27">
      <t>セイサンセイ</t>
    </rPh>
    <rPh sb="28" eb="30">
      <t>ショウライ</t>
    </rPh>
    <rPh sb="30" eb="31">
      <t>チ</t>
    </rPh>
    <rPh sb="34" eb="36">
      <t>ショウライ</t>
    </rPh>
    <rPh sb="36" eb="38">
      <t>スイケイ</t>
    </rPh>
    <rPh sb="38" eb="40">
      <t>ケッカ</t>
    </rPh>
    <rPh sb="41" eb="43">
      <t>スイケイ</t>
    </rPh>
    <rPh sb="56" eb="58">
      <t>ヨウヤク</t>
    </rPh>
    <phoneticPr fontId="4"/>
  </si>
  <si>
    <t>↓隠し列でよいが計算には必要</t>
    <rPh sb="1" eb="2">
      <t>カク</t>
    </rPh>
    <rPh sb="3" eb="4">
      <t>レツ</t>
    </rPh>
    <rPh sb="8" eb="10">
      <t>ケイサン</t>
    </rPh>
    <rPh sb="12" eb="14">
      <t>ヒツヨウ</t>
    </rPh>
    <phoneticPr fontId="4"/>
  </si>
  <si>
    <t>育林工数：</t>
    <phoneticPr fontId="4"/>
  </si>
  <si>
    <t>人工林皆伐面積率：現状</t>
    <rPh sb="9" eb="11">
      <t>ゲンジョウ</t>
    </rPh>
    <phoneticPr fontId="4"/>
  </si>
  <si>
    <t>人工林皆伐面積率の倍数</t>
    <rPh sb="0" eb="2">
      <t>ジンコウ</t>
    </rPh>
    <rPh sb="2" eb="3">
      <t>リン</t>
    </rPh>
    <rPh sb="3" eb="5">
      <t>カイバツ</t>
    </rPh>
    <rPh sb="9" eb="11">
      <t>バイスウ</t>
    </rPh>
    <phoneticPr fontId="4"/>
  </si>
  <si>
    <t>所要労働量 (百万人日)</t>
    <rPh sb="0" eb="2">
      <t>ショヨウ</t>
    </rPh>
    <rPh sb="2" eb="4">
      <t>ロウドウ</t>
    </rPh>
    <rPh sb="4" eb="5">
      <t>リョウ</t>
    </rPh>
    <rPh sb="7" eb="9">
      <t>ヒャクマン</t>
    </rPh>
    <rPh sb="9" eb="10">
      <t>ニン</t>
    </rPh>
    <rPh sb="10" eb="11">
      <t>ニチ</t>
    </rPh>
    <phoneticPr fontId="4"/>
  </si>
  <si>
    <t>素材生産性 (人日/m3)</t>
    <rPh sb="0" eb="2">
      <t>ソザイ</t>
    </rPh>
    <rPh sb="2" eb="5">
      <t>セイサンセイ</t>
    </rPh>
    <rPh sb="7" eb="8">
      <t>ニン</t>
    </rPh>
    <rPh sb="8" eb="9">
      <t>ニチ</t>
    </rPh>
    <phoneticPr fontId="0"/>
  </si>
  <si>
    <t>期間</t>
    <rPh sb="0" eb="2">
      <t>キカン</t>
    </rPh>
    <phoneticPr fontId="4"/>
  </si>
  <si>
    <t>人工林
皆伐</t>
  </si>
  <si>
    <t>利用
間伐</t>
  </si>
  <si>
    <t>天然林
皆伐</t>
  </si>
  <si>
    <t>育林
(1-2齢)</t>
    <rPh sb="0" eb="2">
      <t>イクリン</t>
    </rPh>
    <rPh sb="7" eb="8">
      <t>レイ</t>
    </rPh>
    <phoneticPr fontId="4"/>
  </si>
  <si>
    <t>間伐</t>
    <rPh sb="0" eb="2">
      <t>カンバツ</t>
    </rPh>
    <phoneticPr fontId="4"/>
  </si>
  <si>
    <t>皆伐
(人,天)</t>
    <rPh sb="0" eb="2">
      <t>カイバツ</t>
    </rPh>
    <rPh sb="4" eb="5">
      <t>ヒト</t>
    </rPh>
    <rPh sb="6" eb="7">
      <t>テン</t>
    </rPh>
    <phoneticPr fontId="4"/>
  </si>
  <si>
    <t>皆伐</t>
    <rPh sb="0" eb="2">
      <t>カイバツ</t>
    </rPh>
    <phoneticPr fontId="0"/>
  </si>
  <si>
    <t>利用間伐</t>
    <rPh sb="0" eb="2">
      <t>リヨウ</t>
    </rPh>
    <rPh sb="2" eb="4">
      <t>カンバツ</t>
    </rPh>
    <phoneticPr fontId="0"/>
  </si>
  <si>
    <t>2010～14</t>
    <phoneticPr fontId="4"/>
  </si>
  <si>
    <t>2015～19</t>
    <phoneticPr fontId="4"/>
  </si>
  <si>
    <t>2010～14</t>
    <phoneticPr fontId="4"/>
  </si>
  <si>
    <t>2015～19</t>
    <phoneticPr fontId="4"/>
  </si>
  <si>
    <t>人工林齢級別面積 (千ha) ※1</t>
    <rPh sb="0" eb="2">
      <t>ジンコウ</t>
    </rPh>
    <rPh sb="2" eb="3">
      <t>リン</t>
    </rPh>
    <rPh sb="3" eb="4">
      <t>レイ</t>
    </rPh>
    <rPh sb="4" eb="5">
      <t>キュウ</t>
    </rPh>
    <rPh sb="5" eb="6">
      <t>ベツ</t>
    </rPh>
    <rPh sb="6" eb="8">
      <t>メンセキ</t>
    </rPh>
    <rPh sb="10" eb="11">
      <t>セン</t>
    </rPh>
    <phoneticPr fontId="4"/>
  </si>
  <si>
    <t>天然林面積 ※1</t>
    <rPh sb="0" eb="3">
      <t>テンネンリン</t>
    </rPh>
    <rPh sb="3" eb="5">
      <t>メンセキ</t>
    </rPh>
    <phoneticPr fontId="4"/>
  </si>
  <si>
    <t>年</t>
    <phoneticPr fontId="4"/>
  </si>
  <si>
    <t>計</t>
    <phoneticPr fontId="4"/>
  </si>
  <si>
    <t>20以上</t>
  </si>
  <si>
    <t>(千ha)</t>
    <rPh sb="1" eb="2">
      <t>セン</t>
    </rPh>
    <phoneticPr fontId="4"/>
  </si>
  <si>
    <t>（注）※1：2015年の人工林齢級別面積・天然林面積は，「森林資源の現況」の2012年・17年の値から2015年の値を補間で算出した。</t>
    <rPh sb="1" eb="2">
      <t>チュウ</t>
    </rPh>
    <rPh sb="10" eb="11">
      <t>ネン</t>
    </rPh>
    <rPh sb="12" eb="14">
      <t>ジンコウ</t>
    </rPh>
    <rPh sb="14" eb="15">
      <t>リン</t>
    </rPh>
    <rPh sb="15" eb="16">
      <t>レイ</t>
    </rPh>
    <rPh sb="16" eb="17">
      <t>キュウ</t>
    </rPh>
    <rPh sb="17" eb="18">
      <t>ベツ</t>
    </rPh>
    <rPh sb="18" eb="20">
      <t>メンセキ</t>
    </rPh>
    <rPh sb="21" eb="24">
      <t>テンネンリン</t>
    </rPh>
    <rPh sb="24" eb="26">
      <t>メンセキ</t>
    </rPh>
    <rPh sb="29" eb="31">
      <t>シンリン</t>
    </rPh>
    <rPh sb="31" eb="33">
      <t>シゲン</t>
    </rPh>
    <rPh sb="34" eb="36">
      <t>ゲンキョウ</t>
    </rPh>
    <rPh sb="42" eb="43">
      <t>ネン</t>
    </rPh>
    <rPh sb="46" eb="47">
      <t>ネン</t>
    </rPh>
    <rPh sb="48" eb="49">
      <t>アタイ</t>
    </rPh>
    <rPh sb="59" eb="61">
      <t>ホカン</t>
    </rPh>
    <rPh sb="62" eb="64">
      <t>サンシュツ</t>
    </rPh>
    <phoneticPr fontId="4"/>
  </si>
  <si>
    <t>　　　※2：人工林齢級別面積当たり蓄積は，2015年蓄積を※1と同様に算出し，これを面積で割って算出した。推計期間中は同じ値を用いた。</t>
    <rPh sb="6" eb="8">
      <t>ジンコウ</t>
    </rPh>
    <rPh sb="8" eb="9">
      <t>リン</t>
    </rPh>
    <rPh sb="9" eb="10">
      <t>レイ</t>
    </rPh>
    <rPh sb="10" eb="11">
      <t>キュウ</t>
    </rPh>
    <rPh sb="11" eb="12">
      <t>ベツ</t>
    </rPh>
    <rPh sb="12" eb="14">
      <t>メンセキ</t>
    </rPh>
    <rPh sb="14" eb="15">
      <t>ア</t>
    </rPh>
    <rPh sb="17" eb="19">
      <t>チクセキ</t>
    </rPh>
    <rPh sb="25" eb="26">
      <t>ネン</t>
    </rPh>
    <rPh sb="26" eb="28">
      <t>チクセキ</t>
    </rPh>
    <rPh sb="35" eb="37">
      <t>サンシュツ</t>
    </rPh>
    <rPh sb="42" eb="44">
      <t>メンセキ</t>
    </rPh>
    <rPh sb="45" eb="46">
      <t>ワ</t>
    </rPh>
    <rPh sb="48" eb="50">
      <t>サンシュツ</t>
    </rPh>
    <rPh sb="53" eb="55">
      <t>スイケイ</t>
    </rPh>
    <rPh sb="55" eb="57">
      <t>キカン</t>
    </rPh>
    <rPh sb="57" eb="58">
      <t>ナカ</t>
    </rPh>
    <rPh sb="59" eb="60">
      <t>オナ</t>
    </rPh>
    <rPh sb="61" eb="62">
      <t>アタイ</t>
    </rPh>
    <rPh sb="63" eb="64">
      <t>モチ</t>
    </rPh>
    <phoneticPr fontId="4"/>
  </si>
  <si>
    <t>　　　　　 ただし，高齢級の値が低齢級の値より低い場合は，低齢級の値を充てた。</t>
    <phoneticPr fontId="4"/>
  </si>
  <si>
    <t>　　　　　 伐採材積の計算時は，齢級間の平均値を用いた。</t>
    <rPh sb="6" eb="8">
      <t>バッサイ</t>
    </rPh>
    <rPh sb="8" eb="10">
      <t>ザイセキ</t>
    </rPh>
    <rPh sb="11" eb="13">
      <t>ケイサン</t>
    </rPh>
    <rPh sb="13" eb="14">
      <t>トキ</t>
    </rPh>
    <rPh sb="16" eb="17">
      <t>レイ</t>
    </rPh>
    <rPh sb="17" eb="18">
      <t>キュウ</t>
    </rPh>
    <rPh sb="18" eb="19">
      <t>アイダ</t>
    </rPh>
    <rPh sb="20" eb="22">
      <t>ヘイキン</t>
    </rPh>
    <rPh sb="22" eb="23">
      <t>アタイ</t>
    </rPh>
    <rPh sb="24" eb="25">
      <t>モチ</t>
    </rPh>
    <phoneticPr fontId="4"/>
  </si>
  <si>
    <t>↓隠し行</t>
    <rPh sb="1" eb="2">
      <t>カク</t>
    </rPh>
    <rPh sb="3" eb="4">
      <t>ギョウ</t>
    </rPh>
    <phoneticPr fontId="4"/>
  </si>
  <si>
    <t>＜推計結果＞</t>
    <rPh sb="1" eb="3">
      <t>スイケイ</t>
    </rPh>
    <rPh sb="3" eb="5">
      <t>ケッカ</t>
    </rPh>
    <phoneticPr fontId="4"/>
  </si>
  <si>
    <r>
      <t>人工林皆伐面積 (千ha)</t>
    </r>
    <r>
      <rPr>
        <b/>
        <sz val="11"/>
        <color theme="1"/>
        <rFont val="ＭＳ ゴシック"/>
        <family val="3"/>
        <charset val="128"/>
      </rPr>
      <t xml:space="preserve"> (期間中5年分)</t>
    </r>
    <rPh sb="15" eb="17">
      <t>キカン</t>
    </rPh>
    <rPh sb="17" eb="18">
      <t>ナカ</t>
    </rPh>
    <rPh sb="19" eb="21">
      <t>ネンブン</t>
    </rPh>
    <phoneticPr fontId="4"/>
  </si>
  <si>
    <t>年</t>
    <phoneticPr fontId="4"/>
  </si>
  <si>
    <t>2010～14(現状)</t>
    <rPh sb="8" eb="10">
      <t>ゲンジョウ</t>
    </rPh>
    <phoneticPr fontId="4"/>
  </si>
  <si>
    <r>
      <t xml:space="preserve">人工林切捨間伐面積 (千ha) </t>
    </r>
    <r>
      <rPr>
        <b/>
        <sz val="11"/>
        <color theme="1"/>
        <rFont val="ＭＳ ゴシック"/>
        <family val="3"/>
        <charset val="128"/>
      </rPr>
      <t>(期間中5年分)</t>
    </r>
    <rPh sb="11" eb="12">
      <t>セン</t>
    </rPh>
    <phoneticPr fontId="4"/>
  </si>
  <si>
    <r>
      <t xml:space="preserve">人工林利用間伐面積 (千ha) </t>
    </r>
    <r>
      <rPr>
        <b/>
        <sz val="11"/>
        <color theme="1"/>
        <rFont val="ＭＳ ゴシック"/>
        <family val="3"/>
        <charset val="128"/>
      </rPr>
      <t>(期間中5年分)</t>
    </r>
    <rPh sb="3" eb="5">
      <t>リヨウ</t>
    </rPh>
    <rPh sb="11" eb="12">
      <t>セン</t>
    </rPh>
    <phoneticPr fontId="4"/>
  </si>
  <si>
    <t>＜推計に用いた設定値＞</t>
    <rPh sb="1" eb="3">
      <t>スイケイ</t>
    </rPh>
    <rPh sb="4" eb="5">
      <t>モチ</t>
    </rPh>
    <rPh sb="7" eb="10">
      <t>セッテイチ</t>
    </rPh>
    <phoneticPr fontId="4"/>
  </si>
  <si>
    <t>　　〃　　(切捨間伐)</t>
  </si>
  <si>
    <t>所要労働量：育林従来</t>
    <rPh sb="0" eb="2">
      <t>ショヨウ</t>
    </rPh>
    <rPh sb="2" eb="4">
      <t>ロウドウ</t>
    </rPh>
    <rPh sb="4" eb="5">
      <t>リョウ</t>
    </rPh>
    <rPh sb="6" eb="8">
      <t>イクリン</t>
    </rPh>
    <rPh sb="8" eb="10">
      <t>ジュウライ</t>
    </rPh>
    <phoneticPr fontId="4"/>
  </si>
  <si>
    <t xml:space="preserve"> (人日/ha)：育林省力</t>
    <rPh sb="2" eb="3">
      <t>ニン</t>
    </rPh>
    <rPh sb="3" eb="4">
      <t>ニチ</t>
    </rPh>
    <rPh sb="9" eb="11">
      <t>イクリン</t>
    </rPh>
    <rPh sb="11" eb="13">
      <t>ショウリョク</t>
    </rPh>
    <phoneticPr fontId="4"/>
  </si>
  <si>
    <t>材積間伐率(切捨)</t>
  </si>
  <si>
    <t>材積間伐率(利用)</t>
  </si>
  <si>
    <t>間伐</t>
    <phoneticPr fontId="4"/>
  </si>
  <si>
    <t>天然林面積当たり伐採材積 (m3/ha)</t>
    <rPh sb="0" eb="3">
      <t>テンネンリン</t>
    </rPh>
    <phoneticPr fontId="4"/>
  </si>
  <si>
    <t>Table 14　推計1（なりゆき）の将来推計結果</t>
    <rPh sb="9" eb="11">
      <t>スイケイ</t>
    </rPh>
    <rPh sb="19" eb="21">
      <t>ショウライ</t>
    </rPh>
    <rPh sb="21" eb="23">
      <t>スイケイ</t>
    </rPh>
    <rPh sb="23" eb="25">
      <t>ケッカ</t>
    </rPh>
    <phoneticPr fontId="4"/>
  </si>
  <si>
    <t>育林工数：</t>
    <phoneticPr fontId="4"/>
  </si>
  <si>
    <t>人工林皆伐面積率：アップ</t>
    <phoneticPr fontId="4"/>
  </si>
  <si>
    <t>2030～34</t>
  </si>
  <si>
    <t>2035～39</t>
  </si>
  <si>
    <t>2040～44</t>
  </si>
  <si>
    <t>2045～49</t>
  </si>
  <si>
    <t>2010～14</t>
    <phoneticPr fontId="4"/>
  </si>
  <si>
    <t>年</t>
    <phoneticPr fontId="4"/>
  </si>
  <si>
    <t>（注）※1、※2 はTable14 に同じ</t>
    <rPh sb="1" eb="2">
      <t>チュウ</t>
    </rPh>
    <rPh sb="19" eb="20">
      <t>オナ</t>
    </rPh>
    <phoneticPr fontId="4"/>
  </si>
  <si>
    <t>間伐</t>
    <phoneticPr fontId="4"/>
  </si>
  <si>
    <t>Table 15　推計2（木材供給量は想定需要を充たし育林は省力化した場合）の将来推計結果（長期）</t>
    <phoneticPr fontId="4"/>
  </si>
  <si>
    <t>育林工数：</t>
  </si>
  <si>
    <t>人工林皆伐面積率：アップ</t>
    <phoneticPr fontId="4"/>
  </si>
  <si>
    <t>2010～14</t>
    <phoneticPr fontId="4"/>
  </si>
  <si>
    <t>2015～19</t>
    <phoneticPr fontId="4"/>
  </si>
  <si>
    <t>年</t>
    <phoneticPr fontId="4"/>
  </si>
  <si>
    <t>計</t>
    <phoneticPr fontId="4"/>
  </si>
  <si>
    <t>皆伐</t>
    <phoneticPr fontId="4"/>
  </si>
  <si>
    <t>間伐</t>
    <phoneticPr fontId="4"/>
  </si>
  <si>
    <t>Table 16　推計3（木材供給量は基本計画相当需要を充たし育林は省力化した場合）の将来推計結果</t>
    <phoneticPr fontId="4"/>
  </si>
  <si>
    <t>2010～14</t>
    <phoneticPr fontId="4"/>
  </si>
  <si>
    <t>2015～19</t>
    <phoneticPr fontId="4"/>
  </si>
  <si>
    <t>年</t>
    <phoneticPr fontId="4"/>
  </si>
  <si>
    <t>間伐</t>
    <phoneticPr fontId="4"/>
  </si>
  <si>
    <t>皆伐</t>
    <phoneticPr fontId="4"/>
  </si>
  <si>
    <t>Table 17　推計2b（木材供給量は想定需要を充たし，素材生産性向上を加速して所要労働量を抑えた場合）の将来推計結果</t>
    <rPh sb="9" eb="11">
      <t>スイケイ</t>
    </rPh>
    <rPh sb="14" eb="16">
      <t>モクザイ</t>
    </rPh>
    <rPh sb="16" eb="18">
      <t>キョウキュウ</t>
    </rPh>
    <rPh sb="18" eb="19">
      <t>リョウ</t>
    </rPh>
    <rPh sb="20" eb="22">
      <t>ソウテイ</t>
    </rPh>
    <rPh sb="22" eb="24">
      <t>ジュヨウ</t>
    </rPh>
    <rPh sb="25" eb="26">
      <t>ミ</t>
    </rPh>
    <rPh sb="29" eb="31">
      <t>ソザイ</t>
    </rPh>
    <rPh sb="31" eb="34">
      <t>セイサンセイ</t>
    </rPh>
    <rPh sb="34" eb="36">
      <t>コウジョウ</t>
    </rPh>
    <rPh sb="37" eb="39">
      <t>カソク</t>
    </rPh>
    <rPh sb="41" eb="43">
      <t>ショヨウ</t>
    </rPh>
    <rPh sb="43" eb="45">
      <t>ロウドウ</t>
    </rPh>
    <rPh sb="45" eb="46">
      <t>リョウ</t>
    </rPh>
    <rPh sb="47" eb="48">
      <t>オサ</t>
    </rPh>
    <rPh sb="50" eb="52">
      <t>バアイ</t>
    </rPh>
    <rPh sb="54" eb="56">
      <t>ショウライ</t>
    </rPh>
    <rPh sb="56" eb="58">
      <t>スイケイ</t>
    </rPh>
    <rPh sb="58" eb="60">
      <t>ケッカ</t>
    </rPh>
    <phoneticPr fontId="4"/>
  </si>
  <si>
    <t>年</t>
    <phoneticPr fontId="4"/>
  </si>
  <si>
    <t>計</t>
    <phoneticPr fontId="4"/>
  </si>
  <si>
    <t>Table 18　推計2c（木材供給量は想定需要を充たし，再造林率を下げて所要労働量を抑えた場合）の将来推計結果</t>
    <rPh sb="9" eb="11">
      <t>スイケイ</t>
    </rPh>
    <rPh sb="14" eb="16">
      <t>モクザイ</t>
    </rPh>
    <rPh sb="16" eb="18">
      <t>キョウキュウ</t>
    </rPh>
    <rPh sb="18" eb="19">
      <t>リョウ</t>
    </rPh>
    <rPh sb="20" eb="22">
      <t>ソウテイ</t>
    </rPh>
    <rPh sb="22" eb="24">
      <t>ジュヨウ</t>
    </rPh>
    <rPh sb="25" eb="26">
      <t>ミ</t>
    </rPh>
    <rPh sb="29" eb="32">
      <t>サイゾウリン</t>
    </rPh>
    <rPh sb="32" eb="33">
      <t>リツ</t>
    </rPh>
    <rPh sb="34" eb="35">
      <t>サ</t>
    </rPh>
    <rPh sb="37" eb="39">
      <t>ショヨウ</t>
    </rPh>
    <rPh sb="39" eb="41">
      <t>ロウドウ</t>
    </rPh>
    <rPh sb="41" eb="42">
      <t>リョウ</t>
    </rPh>
    <rPh sb="43" eb="44">
      <t>オサ</t>
    </rPh>
    <rPh sb="46" eb="48">
      <t>バアイ</t>
    </rPh>
    <rPh sb="50" eb="52">
      <t>ショウライ</t>
    </rPh>
    <rPh sb="52" eb="54">
      <t>スイケイ</t>
    </rPh>
    <rPh sb="54" eb="56">
      <t>ケッカ</t>
    </rPh>
    <phoneticPr fontId="4"/>
  </si>
  <si>
    <t>下刈(5回)</t>
    <rPh sb="0" eb="2">
      <t>シタガ</t>
    </rPh>
    <rPh sb="4" eb="5">
      <t>カイ</t>
    </rPh>
    <phoneticPr fontId="4"/>
  </si>
  <si>
    <t>下刈(3回)</t>
    <rPh sb="0" eb="2">
      <t>シタガ</t>
    </rPh>
    <rPh sb="4" eb="5">
      <t>カイ</t>
    </rPh>
    <phoneticPr fontId="4"/>
  </si>
  <si>
    <t>5～12</t>
    <phoneticPr fontId="4"/>
  </si>
  <si>
    <t>保育間伐(/回)
(回数は間伐面積率で設定)</t>
    <rPh sb="0" eb="2">
      <t>ホイク</t>
    </rPh>
    <rPh sb="2" eb="4">
      <t>カンバツ</t>
    </rPh>
    <rPh sb="6" eb="7">
      <t>カイ</t>
    </rPh>
    <rPh sb="10" eb="12">
      <t>カイスウ</t>
    </rPh>
    <rPh sb="13" eb="15">
      <t>カンバツ</t>
    </rPh>
    <rPh sb="15" eb="17">
      <t>メンセキ</t>
    </rPh>
    <rPh sb="17" eb="18">
      <t>リツ</t>
    </rPh>
    <rPh sb="19" eb="21">
      <t>セッテイ</t>
    </rPh>
    <phoneticPr fontId="4"/>
  </si>
  <si>
    <t>Table 11　人工林齢級別育林作業の所要労働量の設定値</t>
    <rPh sb="9" eb="12">
      <t>ジンコウリン</t>
    </rPh>
    <rPh sb="12" eb="13">
      <t>レイ</t>
    </rPh>
    <rPh sb="13" eb="14">
      <t>キュウ</t>
    </rPh>
    <rPh sb="14" eb="15">
      <t>ベツ</t>
    </rPh>
    <rPh sb="15" eb="17">
      <t>イクリン</t>
    </rPh>
    <rPh sb="17" eb="19">
      <t>サギョウ</t>
    </rPh>
    <rPh sb="20" eb="22">
      <t>ショヨウ</t>
    </rPh>
    <rPh sb="22" eb="24">
      <t>ロウドウ</t>
    </rPh>
    <rPh sb="24" eb="25">
      <t>リョウ</t>
    </rPh>
    <rPh sb="26" eb="29">
      <t>セッテイチ</t>
    </rPh>
    <phoneticPr fontId="4"/>
  </si>
  <si>
    <t>職業大分類</t>
    <rPh sb="0" eb="2">
      <t>ショクギョウ</t>
    </rPh>
    <rPh sb="2" eb="5">
      <t>ダイブンルイ</t>
    </rPh>
    <phoneticPr fontId="4"/>
  </si>
  <si>
    <t>農林漁業従事者</t>
    <rPh sb="0" eb="2">
      <t>ノウリン</t>
    </rPh>
    <rPh sb="2" eb="4">
      <t>ギョギョウ</t>
    </rPh>
    <rPh sb="4" eb="7">
      <t>ジュウジシャ</t>
    </rPh>
    <phoneticPr fontId="4"/>
  </si>
  <si>
    <t>その他</t>
    <rPh sb="2" eb="3">
      <t>タ</t>
    </rPh>
    <phoneticPr fontId="4"/>
  </si>
  <si>
    <t>　職業中分類</t>
    <rPh sb="1" eb="3">
      <t>ショクギョウ</t>
    </rPh>
    <rPh sb="3" eb="6">
      <t>チュウブンルイ</t>
    </rPh>
    <phoneticPr fontId="4"/>
  </si>
  <si>
    <t>林業従事者</t>
    <rPh sb="0" eb="2">
      <t>リンギョウ</t>
    </rPh>
    <rPh sb="2" eb="5">
      <t>ジュウジシャ</t>
    </rPh>
    <phoneticPr fontId="4"/>
  </si>
  <si>
    <t>　　職業小分類</t>
    <rPh sb="2" eb="4">
      <t>ショクギョウ</t>
    </rPh>
    <rPh sb="4" eb="5">
      <t>ショウ</t>
    </rPh>
    <rPh sb="5" eb="7">
      <t>ブンルイ</t>
    </rPh>
    <phoneticPr fontId="4"/>
  </si>
  <si>
    <t>育林従事者</t>
    <rPh sb="0" eb="2">
      <t>イクリン</t>
    </rPh>
    <phoneticPr fontId="24"/>
  </si>
  <si>
    <t>伐木・造材・集材従事者</t>
    <rPh sb="0" eb="2">
      <t>バツボク</t>
    </rPh>
    <rPh sb="3" eb="5">
      <t>ゾウザイ</t>
    </rPh>
    <rPh sb="6" eb="8">
      <t>シュウザイ</t>
    </rPh>
    <rPh sb="8" eb="11">
      <t>ジュウジシャ</t>
    </rPh>
    <phoneticPr fontId="24"/>
  </si>
  <si>
    <t>その他の林業従事者</t>
    <rPh sb="2" eb="3">
      <t>タ</t>
    </rPh>
    <rPh sb="4" eb="6">
      <t>リンギョウ</t>
    </rPh>
    <rPh sb="6" eb="9">
      <t>ジュウジシャ</t>
    </rPh>
    <phoneticPr fontId="24"/>
  </si>
  <si>
    <t>産業大分類</t>
    <rPh sb="0" eb="2">
      <t>サンギョウ</t>
    </rPh>
    <rPh sb="2" eb="5">
      <t>ダイブンルイ</t>
    </rPh>
    <phoneticPr fontId="4"/>
  </si>
  <si>
    <t>(a)</t>
    <phoneticPr fontId="4"/>
  </si>
  <si>
    <t>(b)</t>
    <phoneticPr fontId="4"/>
  </si>
  <si>
    <t>(c)</t>
    <phoneticPr fontId="4"/>
  </si>
  <si>
    <t>(d)</t>
    <phoneticPr fontId="4"/>
  </si>
  <si>
    <t>(e)</t>
    <phoneticPr fontId="4"/>
  </si>
  <si>
    <t>(f)</t>
    <phoneticPr fontId="4"/>
  </si>
  <si>
    <t>(g)</t>
    <phoneticPr fontId="4"/>
  </si>
  <si>
    <t>1980年</t>
    <rPh sb="4" eb="5">
      <t>ネン</t>
    </rPh>
    <phoneticPr fontId="4"/>
  </si>
  <si>
    <t>1985年</t>
    <rPh sb="4" eb="5">
      <t>ネン</t>
    </rPh>
    <phoneticPr fontId="4"/>
  </si>
  <si>
    <t>1990年</t>
    <phoneticPr fontId="4"/>
  </si>
  <si>
    <t>1995年</t>
    <phoneticPr fontId="4"/>
  </si>
  <si>
    <t>2000年</t>
    <phoneticPr fontId="4"/>
  </si>
  <si>
    <t>2005年</t>
    <phoneticPr fontId="4"/>
  </si>
  <si>
    <t>2010年</t>
    <phoneticPr fontId="4"/>
  </si>
  <si>
    <t>2015年</t>
    <phoneticPr fontId="4"/>
  </si>
  <si>
    <t>（表中の職業大・中分類と産業大分類の関係）</t>
    <rPh sb="1" eb="2">
      <t>オモテ</t>
    </rPh>
    <rPh sb="2" eb="3">
      <t>ナカ</t>
    </rPh>
    <rPh sb="4" eb="6">
      <t>ショクギョウ</t>
    </rPh>
    <rPh sb="6" eb="7">
      <t>ダイ</t>
    </rPh>
    <rPh sb="8" eb="9">
      <t>ナカ</t>
    </rPh>
    <rPh sb="9" eb="11">
      <t>ブンルイ</t>
    </rPh>
    <rPh sb="12" eb="14">
      <t>サンギョウ</t>
    </rPh>
    <rPh sb="14" eb="17">
      <t>ダイブンルイ</t>
    </rPh>
    <rPh sb="18" eb="20">
      <t>カンケイ</t>
    </rPh>
    <phoneticPr fontId="4"/>
  </si>
  <si>
    <t>職業大分類</t>
    <phoneticPr fontId="4"/>
  </si>
  <si>
    <t>職業中分類</t>
    <phoneticPr fontId="4"/>
  </si>
  <si>
    <t>　計</t>
    <rPh sb="1" eb="2">
      <t>ケイ</t>
    </rPh>
    <phoneticPr fontId="4"/>
  </si>
  <si>
    <t>d</t>
    <phoneticPr fontId="4"/>
  </si>
  <si>
    <t>　林業</t>
    <rPh sb="1" eb="3">
      <t>リンギョウ</t>
    </rPh>
    <phoneticPr fontId="4"/>
  </si>
  <si>
    <t>a</t>
    <phoneticPr fontId="4"/>
  </si>
  <si>
    <t>b</t>
    <phoneticPr fontId="4"/>
  </si>
  <si>
    <t>c</t>
    <phoneticPr fontId="4"/>
  </si>
  <si>
    <t>e</t>
    <phoneticPr fontId="4"/>
  </si>
  <si>
    <t>　協同組合</t>
    <rPh sb="1" eb="3">
      <t>キョウドウ</t>
    </rPh>
    <rPh sb="3" eb="5">
      <t>クミアイ</t>
    </rPh>
    <phoneticPr fontId="4"/>
  </si>
  <si>
    <t>f</t>
    <phoneticPr fontId="4"/>
  </si>
  <si>
    <t>　その他</t>
    <rPh sb="3" eb="4">
      <t>タ</t>
    </rPh>
    <phoneticPr fontId="4"/>
  </si>
  <si>
    <t>g</t>
    <phoneticPr fontId="4"/>
  </si>
  <si>
    <t>（資料）「国勢調査」各年（a～cは「基本集計」による悉皆値、d～gは「抽出詳細集計」による推計値）</t>
    <rPh sb="1" eb="3">
      <t>シリョウ</t>
    </rPh>
    <rPh sb="5" eb="7">
      <t>コクセイ</t>
    </rPh>
    <rPh sb="7" eb="9">
      <t>チョウサ</t>
    </rPh>
    <rPh sb="10" eb="12">
      <t>カクネン</t>
    </rPh>
    <rPh sb="18" eb="20">
      <t>キホン</t>
    </rPh>
    <rPh sb="20" eb="22">
      <t>シュウケイ</t>
    </rPh>
    <rPh sb="26" eb="28">
      <t>シッカイ</t>
    </rPh>
    <rPh sb="28" eb="29">
      <t>アタイ</t>
    </rPh>
    <rPh sb="35" eb="37">
      <t>チュウシュツ</t>
    </rPh>
    <rPh sb="37" eb="39">
      <t>ショウサイ</t>
    </rPh>
    <rPh sb="39" eb="41">
      <t>シュウケイ</t>
    </rPh>
    <rPh sb="45" eb="48">
      <t>スイケイチ</t>
    </rPh>
    <phoneticPr fontId="24"/>
  </si>
  <si>
    <t>用いた変化</t>
    <phoneticPr fontId="4"/>
  </si>
  <si>
    <t>パラメーター</t>
    <phoneticPr fontId="4"/>
  </si>
  <si>
    <t>パラメーター</t>
    <phoneticPr fontId="4"/>
  </si>
  <si>
    <t>パラメーター</t>
    <phoneticPr fontId="4"/>
  </si>
  <si>
    <t>(1) ベースケース(2010→15年の変化パラメーターを用いた場合)</t>
    <phoneticPr fontId="4"/>
  </si>
  <si>
    <t>(2) 若年層(15～34歳)の変化パラメーターを1.5倍にした場合</t>
    <rPh sb="4" eb="6">
      <t>ジャクネン</t>
    </rPh>
    <rPh sb="6" eb="7">
      <t>ソウ</t>
    </rPh>
    <rPh sb="13" eb="14">
      <t>サイ</t>
    </rPh>
    <rPh sb="16" eb="18">
      <t>ヘンカ</t>
    </rPh>
    <rPh sb="28" eb="29">
      <t>バイ</t>
    </rPh>
    <rPh sb="32" eb="34">
      <t>バアイ</t>
    </rPh>
    <phoneticPr fontId="4"/>
  </si>
  <si>
    <t>(3) 若年層(15～34歳)の変化パラメーターを2倍にした場合</t>
    <rPh sb="4" eb="6">
      <t>ジャクネン</t>
    </rPh>
    <rPh sb="6" eb="7">
      <t>ソウ</t>
    </rPh>
    <rPh sb="13" eb="14">
      <t>サイ</t>
    </rPh>
    <rPh sb="16" eb="18">
      <t>ヘンカ</t>
    </rPh>
    <rPh sb="26" eb="27">
      <t>バイ</t>
    </rPh>
    <rPh sb="30" eb="32">
      <t>バアイ</t>
    </rPh>
    <phoneticPr fontId="4"/>
  </si>
  <si>
    <t>(4) 若年層(15～34歳)の変化パラメーターを2.5倍にした場合</t>
    <rPh sb="4" eb="6">
      <t>ジャクネン</t>
    </rPh>
    <rPh sb="6" eb="7">
      <t>ソウ</t>
    </rPh>
    <rPh sb="13" eb="14">
      <t>サイ</t>
    </rPh>
    <rPh sb="16" eb="18">
      <t>ヘンカ</t>
    </rPh>
    <rPh sb="28" eb="29">
      <t>バイ</t>
    </rPh>
    <rPh sb="32" eb="34">
      <t>バアイ</t>
    </rPh>
    <phoneticPr fontId="4"/>
  </si>
  <si>
    <t>(5) 2000→05年の変化パラメーターを用いた場合</t>
    <rPh sb="11" eb="12">
      <t>ネン</t>
    </rPh>
    <rPh sb="13" eb="15">
      <t>ヘンカ</t>
    </rPh>
    <rPh sb="22" eb="23">
      <t>モチ</t>
    </rPh>
    <rPh sb="25" eb="27">
      <t>バアイ</t>
    </rPh>
    <phoneticPr fontId="4"/>
  </si>
  <si>
    <t>(6) 2005→10年の変化パラメーターを用いた場合</t>
    <rPh sb="11" eb="12">
      <t>ネン</t>
    </rPh>
    <rPh sb="13" eb="15">
      <t>ヘンカ</t>
    </rPh>
    <rPh sb="22" eb="23">
      <t>モチ</t>
    </rPh>
    <rPh sb="25" eb="27">
      <t>バアイ</t>
    </rPh>
    <phoneticPr fontId="4"/>
  </si>
  <si>
    <t>将来推計に用いた変化パラメーター</t>
    <rPh sb="0" eb="2">
      <t>ショウライ</t>
    </rPh>
    <rPh sb="2" eb="4">
      <t>スイケイ</t>
    </rPh>
    <rPh sb="5" eb="6">
      <t>モチ</t>
    </rPh>
    <rPh sb="8" eb="10">
      <t>ヘンカ</t>
    </rPh>
    <phoneticPr fontId="4"/>
  </si>
  <si>
    <t>Table 1　林業就業者・従事者数とその職業・産業別内訳の推移</t>
    <rPh sb="10" eb="13">
      <t>シュウギョウシャ</t>
    </rPh>
    <rPh sb="21" eb="23">
      <t>ショクギョウ</t>
    </rPh>
    <rPh sb="26" eb="27">
      <t>ベツ</t>
    </rPh>
    <phoneticPr fontId="4"/>
  </si>
  <si>
    <t>産業としての林業就業者数
と職業分類内訳</t>
    <rPh sb="11" eb="12">
      <t>スウ</t>
    </rPh>
    <rPh sb="14" eb="16">
      <t>ショクギョウ</t>
    </rPh>
    <rPh sb="16" eb="18">
      <t>ブンルイ</t>
    </rPh>
    <rPh sb="18" eb="20">
      <t>ウチワケ</t>
    </rPh>
    <phoneticPr fontId="4"/>
  </si>
  <si>
    <t>職業としての林業従事者数
と産業分類内訳</t>
    <rPh sb="0" eb="2">
      <t>ショクギョウ</t>
    </rPh>
    <rPh sb="6" eb="8">
      <t>リンギョウ</t>
    </rPh>
    <rPh sb="8" eb="11">
      <t>ジュウジシャ</t>
    </rPh>
    <rPh sb="11" eb="12">
      <t>スウ</t>
    </rPh>
    <rPh sb="14" eb="16">
      <t>サンギョウ</t>
    </rPh>
    <rPh sb="16" eb="18">
      <t>ブンルイ</t>
    </rPh>
    <rPh sb="18" eb="20">
      <t>ウチワケ</t>
    </rPh>
    <phoneticPr fontId="4"/>
  </si>
  <si>
    <t>林業従事者数の
職業小分類内訳</t>
    <rPh sb="0" eb="2">
      <t>リンギョウ</t>
    </rPh>
    <rPh sb="2" eb="5">
      <t>ジュウジシャ</t>
    </rPh>
    <rPh sb="5" eb="6">
      <t>スウ</t>
    </rPh>
    <rPh sb="8" eb="10">
      <t>ショクギョウ</t>
    </rPh>
    <rPh sb="10" eb="13">
      <t>ショウブンルイ</t>
    </rPh>
    <rPh sb="13" eb="15">
      <t>ウチワケ</t>
    </rPh>
    <phoneticPr fontId="4"/>
  </si>
  <si>
    <t>製材合板等用材
（製材＋合板＋その他）</t>
    <rPh sb="0" eb="2">
      <t>セイザイ</t>
    </rPh>
    <rPh sb="2" eb="5">
      <t>ゴウバンナド</t>
    </rPh>
    <rPh sb="5" eb="7">
      <t>ヨウザイ</t>
    </rPh>
    <rPh sb="9" eb="11">
      <t>セイザイ</t>
    </rPh>
    <rPh sb="12" eb="14">
      <t>ゴウバン</t>
    </rPh>
    <rPh sb="17" eb="18">
      <t>タ</t>
    </rPh>
    <phoneticPr fontId="4"/>
  </si>
  <si>
    <t>(1)</t>
    <phoneticPr fontId="4"/>
  </si>
  <si>
    <t>(2)</t>
    <phoneticPr fontId="4"/>
  </si>
  <si>
    <t>(3)</t>
    <phoneticPr fontId="4"/>
  </si>
  <si>
    <t>(4)</t>
    <phoneticPr fontId="4"/>
  </si>
  <si>
    <t>(5)</t>
    <phoneticPr fontId="4"/>
  </si>
  <si>
    <t>(6)</t>
    <phoneticPr fontId="4"/>
  </si>
  <si>
    <t>(7)</t>
    <phoneticPr fontId="4"/>
  </si>
  <si>
    <t>(8)</t>
    <phoneticPr fontId="4"/>
  </si>
  <si>
    <t>(9)</t>
    <phoneticPr fontId="4"/>
  </si>
  <si>
    <t>(10)</t>
    <phoneticPr fontId="4"/>
  </si>
  <si>
    <t>(11)</t>
    <phoneticPr fontId="4"/>
  </si>
  <si>
    <t>(12)</t>
    <phoneticPr fontId="4"/>
  </si>
  <si>
    <t>(13)</t>
    <phoneticPr fontId="4"/>
  </si>
  <si>
    <t>(14)</t>
    <phoneticPr fontId="4"/>
  </si>
  <si>
    <t>(15)</t>
    <phoneticPr fontId="4"/>
  </si>
  <si>
    <t>(16)</t>
    <phoneticPr fontId="4"/>
  </si>
  <si>
    <t>(17)</t>
    <phoneticPr fontId="4"/>
  </si>
  <si>
    <t>(18)</t>
    <phoneticPr fontId="4"/>
  </si>
  <si>
    <t>(z)</t>
    <phoneticPr fontId="4"/>
  </si>
  <si>
    <t>　　　　　　　 ・用材：林地残材(c)を素材生産量(補正)の広葉樹割合(o)で按分したもの　　・しいたけ原木(d)　　・燃料材(e)のうち、右表(注5～8)に示す方法で試算した広葉樹分(z)</t>
    <phoneticPr fontId="4"/>
  </si>
  <si>
    <t>　　　　※5: 燃料材供給量(丸太換算)のうち燃料用チップ(2014年～)(u)・木質ペレット(2011年～)(v)は、</t>
    <rPh sb="8" eb="10">
      <t>ネンリョウ</t>
    </rPh>
    <rPh sb="10" eb="11">
      <t>ザイ</t>
    </rPh>
    <rPh sb="11" eb="13">
      <t>キョウキュウ</t>
    </rPh>
    <rPh sb="13" eb="14">
      <t>リョウ</t>
    </rPh>
    <rPh sb="15" eb="17">
      <t>マルタ</t>
    </rPh>
    <rPh sb="17" eb="19">
      <t>カンサン</t>
    </rPh>
    <rPh sb="23" eb="26">
      <t>ネンリョウヨウ</t>
    </rPh>
    <rPh sb="34" eb="35">
      <t>ネン</t>
    </rPh>
    <rPh sb="41" eb="43">
      <t>モクシツ</t>
    </rPh>
    <rPh sb="52" eb="53">
      <t>ネン</t>
    </rPh>
    <phoneticPr fontId="4"/>
  </si>
  <si>
    <t>　　　　※6: 燃料材供給量(丸太換算)の「その他」(w)は、 燃料材(e)－燃料用チップ(u)－木質ペレット(v) で算出。</t>
    <rPh sb="8" eb="10">
      <t>ネンリョウ</t>
    </rPh>
    <rPh sb="10" eb="11">
      <t>ザイ</t>
    </rPh>
    <rPh sb="11" eb="13">
      <t>キョウキュウ</t>
    </rPh>
    <rPh sb="13" eb="14">
      <t>リョウ</t>
    </rPh>
    <rPh sb="15" eb="17">
      <t>マルタ</t>
    </rPh>
    <rPh sb="17" eb="19">
      <t>カンサン</t>
    </rPh>
    <rPh sb="24" eb="25">
      <t>タ</t>
    </rPh>
    <rPh sb="32" eb="34">
      <t>ネンリョウ</t>
    </rPh>
    <rPh sb="34" eb="35">
      <t>ザイ</t>
    </rPh>
    <rPh sb="39" eb="42">
      <t>ネンリョウヨウ</t>
    </rPh>
    <rPh sb="49" eb="51">
      <t>モクシツ</t>
    </rPh>
    <rPh sb="60" eb="62">
      <t>サンシュツ</t>
    </rPh>
    <phoneticPr fontId="4"/>
  </si>
  <si>
    <t>　　　　※7: 木質ペレット供給量のうち原料が広葉樹の割合(x)は、「特用林産基礎資料」（林野庁経営課）の「木質粒状燃料、丸太・林地残材から生産した樹種別生産量」に占める「広葉樹、その他」の割合</t>
    <rPh sb="8" eb="10">
      <t>モクシツ</t>
    </rPh>
    <rPh sb="14" eb="16">
      <t>キョウキュウ</t>
    </rPh>
    <rPh sb="16" eb="17">
      <t>リョウ</t>
    </rPh>
    <rPh sb="17" eb="18">
      <t>サンリョウ</t>
    </rPh>
    <rPh sb="20" eb="22">
      <t>ゲンリョウ</t>
    </rPh>
    <rPh sb="23" eb="26">
      <t>コウヨウジュ</t>
    </rPh>
    <rPh sb="27" eb="29">
      <t>ワリアイ</t>
    </rPh>
    <rPh sb="35" eb="37">
      <t>トクヨウ</t>
    </rPh>
    <rPh sb="37" eb="39">
      <t>リンサン</t>
    </rPh>
    <rPh sb="39" eb="41">
      <t>キソ</t>
    </rPh>
    <rPh sb="41" eb="43">
      <t>シリョウ</t>
    </rPh>
    <rPh sb="45" eb="47">
      <t>リンヤ</t>
    </rPh>
    <rPh sb="47" eb="48">
      <t>チョウ</t>
    </rPh>
    <rPh sb="48" eb="50">
      <t>ケイエイ</t>
    </rPh>
    <rPh sb="50" eb="51">
      <t>カ</t>
    </rPh>
    <rPh sb="82" eb="83">
      <t>シ</t>
    </rPh>
    <rPh sb="86" eb="89">
      <t>コウヨウジュ</t>
    </rPh>
    <rPh sb="92" eb="93">
      <t>タ</t>
    </rPh>
    <rPh sb="95" eb="97">
      <t>ワリアイ</t>
    </rPh>
    <phoneticPr fontId="4"/>
  </si>
  <si>
    <t>　　　　※8: 燃料材供給量・針葉樹(y)は、燃料用チップ(u)×素材生産量(補正)の針葉樹割合(1-o)＋木質ペレット(v)×針葉樹割合(1-x) で算出</t>
    <rPh sb="8" eb="10">
      <t>ネンリョウ</t>
    </rPh>
    <rPh sb="10" eb="11">
      <t>ザイ</t>
    </rPh>
    <rPh sb="11" eb="13">
      <t>キョウキュウ</t>
    </rPh>
    <rPh sb="13" eb="14">
      <t>リョウ</t>
    </rPh>
    <rPh sb="15" eb="18">
      <t>シンヨウジュ</t>
    </rPh>
    <rPh sb="23" eb="26">
      <t>ネンリョウヨウ</t>
    </rPh>
    <rPh sb="33" eb="35">
      <t>ソザイ</t>
    </rPh>
    <rPh sb="35" eb="37">
      <t>セイサン</t>
    </rPh>
    <rPh sb="37" eb="38">
      <t>リョウ</t>
    </rPh>
    <rPh sb="39" eb="41">
      <t>ホセイ</t>
    </rPh>
    <rPh sb="43" eb="44">
      <t>ハリ</t>
    </rPh>
    <rPh sb="46" eb="48">
      <t>ワリアイ</t>
    </rPh>
    <rPh sb="54" eb="56">
      <t>モクシツ</t>
    </rPh>
    <rPh sb="64" eb="67">
      <t>シンヨウジュ</t>
    </rPh>
    <rPh sb="67" eb="69">
      <t>ワリアイ</t>
    </rPh>
    <rPh sb="76" eb="78">
      <t>サンシュツ</t>
    </rPh>
    <phoneticPr fontId="4"/>
  </si>
  <si>
    <t>　　　　　　 同・広葉樹(z)は、燃料用チップ(u)×素材生産量(補正)の広葉樹割合(o)＋木質ペレット(v)×広葉樹割合(x)＋その他(w) で算出</t>
    <rPh sb="7" eb="8">
      <t>ドウ</t>
    </rPh>
    <rPh sb="9" eb="12">
      <t>コウヨウジュ</t>
    </rPh>
    <rPh sb="56" eb="57">
      <t>ヒロ</t>
    </rPh>
    <rPh sb="67" eb="68">
      <t>タ</t>
    </rPh>
    <phoneticPr fontId="4"/>
  </si>
  <si>
    <t>(千人)</t>
    <rPh sb="1" eb="2">
      <t>セン</t>
    </rPh>
    <rPh sb="2" eb="3">
      <t>ニン</t>
    </rPh>
    <phoneticPr fontId="4"/>
  </si>
  <si>
    <t>(ab)</t>
    <phoneticPr fontId="4"/>
  </si>
  <si>
    <t>(ac)</t>
    <phoneticPr fontId="4"/>
  </si>
  <si>
    <t>　　　※2：製材＋合板＋その他用用材需要量は、exp(1.0181*LN(c)+0.4564*LN(d)-0.4676) で算出</t>
    <rPh sb="18" eb="20">
      <t>ジュヨウ</t>
    </rPh>
    <rPh sb="20" eb="21">
      <t>リョウ</t>
    </rPh>
    <rPh sb="62" eb="64">
      <t>サンシュツ</t>
    </rPh>
    <phoneticPr fontId="4"/>
  </si>
  <si>
    <t>　　　※6：パルプ・チップ用材需要量は、exp(0.9607*LN(h)-0.7487*ln(i)-0.0409) で算出</t>
    <rPh sb="13" eb="15">
      <t>ヨウザイ</t>
    </rPh>
    <rPh sb="15" eb="17">
      <t>ジュヨウ</t>
    </rPh>
    <rPh sb="17" eb="18">
      <t>リョウ</t>
    </rPh>
    <rPh sb="59" eb="61">
      <t>サンシュツ</t>
    </rPh>
    <phoneticPr fontId="4"/>
  </si>
  <si>
    <t>Table 9　植伐関連データの推定：林業関連統計の部分</t>
    <rPh sb="19" eb="21">
      <t>リンギョウ</t>
    </rPh>
    <rPh sb="21" eb="23">
      <t>カンレン</t>
    </rPh>
    <rPh sb="23" eb="25">
      <t>トウケイ</t>
    </rPh>
    <rPh sb="26" eb="28">
      <t>ブブン</t>
    </rPh>
    <phoneticPr fontId="4"/>
  </si>
  <si>
    <t>Table 10　植伐関連データの推定：森林資源に関する部分</t>
    <rPh sb="20" eb="22">
      <t>シンリン</t>
    </rPh>
    <rPh sb="22" eb="24">
      <t>シゲン</t>
    </rPh>
    <rPh sb="25" eb="26">
      <t>カン</t>
    </rPh>
    <rPh sb="28" eb="30">
      <t>ブブン</t>
    </rPh>
    <phoneticPr fontId="4"/>
  </si>
  <si>
    <t>人工林皆伐面積率：アップ</t>
    <phoneticPr fontId="4"/>
  </si>
  <si>
    <t>2010～14</t>
    <phoneticPr fontId="4"/>
  </si>
  <si>
    <t>2015～19</t>
    <phoneticPr fontId="4"/>
  </si>
  <si>
    <t>2010～14</t>
    <phoneticPr fontId="4"/>
  </si>
  <si>
    <t>2015～19</t>
    <phoneticPr fontId="4"/>
  </si>
  <si>
    <t>年</t>
    <phoneticPr fontId="4"/>
  </si>
  <si>
    <t>計</t>
    <phoneticPr fontId="4"/>
  </si>
  <si>
    <t>年</t>
    <phoneticPr fontId="4"/>
  </si>
  <si>
    <t>皆伐</t>
    <phoneticPr fontId="4"/>
  </si>
  <si>
    <t>間伐</t>
    <phoneticPr fontId="4"/>
  </si>
  <si>
    <t>Table 19　推計2d（木材供給量は想定需要を充たし，利用率を上げた場合）の将来推計結果</t>
    <rPh sb="9" eb="11">
      <t>スイケイ</t>
    </rPh>
    <rPh sb="14" eb="16">
      <t>モクザイ</t>
    </rPh>
    <rPh sb="16" eb="18">
      <t>キョウキュウ</t>
    </rPh>
    <rPh sb="18" eb="19">
      <t>リョウ</t>
    </rPh>
    <rPh sb="20" eb="22">
      <t>ソウテイ</t>
    </rPh>
    <rPh sb="22" eb="24">
      <t>ジュヨウ</t>
    </rPh>
    <rPh sb="25" eb="26">
      <t>ミ</t>
    </rPh>
    <rPh sb="29" eb="32">
      <t>リヨウリツ</t>
    </rPh>
    <rPh sb="33" eb="34">
      <t>ア</t>
    </rPh>
    <rPh sb="36" eb="38">
      <t>バアイ</t>
    </rPh>
    <rPh sb="40" eb="42">
      <t>ショウライ</t>
    </rPh>
    <rPh sb="42" eb="44">
      <t>スイケイ</t>
    </rPh>
    <rPh sb="44" eb="46">
      <t>ケッカ</t>
    </rPh>
    <phoneticPr fontId="4"/>
  </si>
  <si>
    <t>育林省力化係数</t>
    <rPh sb="0" eb="2">
      <t>イクリン</t>
    </rPh>
    <rPh sb="2" eb="5">
      <t>ショウリョクカ</t>
    </rPh>
    <rPh sb="5" eb="7">
      <t>ケイスウ</t>
    </rPh>
    <phoneticPr fontId="4"/>
  </si>
  <si>
    <t>1期あたり</t>
    <rPh sb="1" eb="2">
      <t>キ</t>
    </rPh>
    <phoneticPr fontId="4"/>
  </si>
  <si>
    <t>所要労働量</t>
    <phoneticPr fontId="4"/>
  </si>
  <si>
    <t>（推計2e）</t>
    <rPh sb="1" eb="3">
      <t>スイケイ</t>
    </rPh>
    <phoneticPr fontId="4"/>
  </si>
  <si>
    <t>間伐</t>
    <rPh sb="0" eb="2">
      <t>カンバツ</t>
    </rPh>
    <phoneticPr fontId="4"/>
  </si>
  <si>
    <t>切捨</t>
    <rPh sb="0" eb="2">
      <t>キリス</t>
    </rPh>
    <phoneticPr fontId="4"/>
  </si>
  <si>
    <t>育林省力化継続の場合</t>
    <rPh sb="8" eb="10">
      <t>バアイ</t>
    </rPh>
    <phoneticPr fontId="4"/>
  </si>
  <si>
    <t>隠し行69-82</t>
    <rPh sb="0" eb="1">
      <t>カク</t>
    </rPh>
    <rPh sb="2" eb="3">
      <t>ギョウ</t>
    </rPh>
    <phoneticPr fontId="4"/>
  </si>
  <si>
    <t>隠し行80-102</t>
    <rPh sb="0" eb="1">
      <t>カク</t>
    </rPh>
    <rPh sb="2" eb="3">
      <t>ギョウ</t>
    </rPh>
    <phoneticPr fontId="4"/>
  </si>
  <si>
    <t>隠し行36-68,隠し列AJ-AK</t>
    <rPh sb="0" eb="1">
      <t>カク</t>
    </rPh>
    <rPh sb="2" eb="3">
      <t>ギョウ</t>
    </rPh>
    <rPh sb="9" eb="10">
      <t>カク</t>
    </rPh>
    <rPh sb="11" eb="12">
      <t>レツ</t>
    </rPh>
    <phoneticPr fontId="4"/>
  </si>
  <si>
    <t>隠し行48-92,隠し列AM-AP</t>
    <rPh sb="0" eb="1">
      <t>カク</t>
    </rPh>
    <rPh sb="2" eb="3">
      <t>ギョウ</t>
    </rPh>
    <rPh sb="9" eb="10">
      <t>カク</t>
    </rPh>
    <rPh sb="11" eb="12">
      <t>レツ</t>
    </rPh>
    <phoneticPr fontId="4"/>
  </si>
  <si>
    <r>
      <t>（推計に用いた人工林面積当たり蓄積 (m</t>
    </r>
    <r>
      <rPr>
        <vertAlign val="superscript"/>
        <sz val="11"/>
        <color theme="1"/>
        <rFont val="ＭＳ ゴシック"/>
        <family val="3"/>
        <charset val="128"/>
      </rPr>
      <t>3</t>
    </r>
    <r>
      <rPr>
        <sz val="11"/>
        <color theme="1"/>
        <rFont val="ＭＳ ゴシック"/>
        <family val="2"/>
        <charset val="128"/>
      </rPr>
      <t>/ha) ※2 ）</t>
    </r>
    <rPh sb="1" eb="3">
      <t>スイケイ</t>
    </rPh>
    <rPh sb="4" eb="5">
      <t>モチ</t>
    </rPh>
    <phoneticPr fontId="4"/>
  </si>
  <si>
    <r>
      <t>(m</t>
    </r>
    <r>
      <rPr>
        <vertAlign val="superscript"/>
        <sz val="11"/>
        <color theme="1"/>
        <rFont val="ＭＳ ゴシック"/>
        <family val="3"/>
        <charset val="128"/>
      </rPr>
      <t>2</t>
    </r>
    <r>
      <rPr>
        <sz val="11"/>
        <color theme="1"/>
        <rFont val="ＭＳ ゴシック"/>
        <family val="2"/>
        <charset val="128"/>
      </rPr>
      <t>/戸)</t>
    </r>
    <rPh sb="4" eb="5">
      <t>ト</t>
    </rPh>
    <phoneticPr fontId="4"/>
  </si>
  <si>
    <r>
      <t>(百万m</t>
    </r>
    <r>
      <rPr>
        <vertAlign val="superscript"/>
        <sz val="11"/>
        <color theme="1"/>
        <rFont val="ＭＳ ゴシック"/>
        <family val="3"/>
        <charset val="128"/>
      </rPr>
      <t>2</t>
    </r>
    <r>
      <rPr>
        <sz val="11"/>
        <color theme="1"/>
        <rFont val="ＭＳ ゴシック"/>
        <family val="2"/>
        <charset val="128"/>
      </rPr>
      <t>)</t>
    </r>
    <rPh sb="1" eb="3">
      <t>ヒャクマン</t>
    </rPh>
    <phoneticPr fontId="4"/>
  </si>
  <si>
    <r>
      <t>(百万m</t>
    </r>
    <r>
      <rPr>
        <vertAlign val="superscript"/>
        <sz val="11"/>
        <color theme="1"/>
        <rFont val="ＭＳ ゴシック"/>
        <family val="3"/>
        <charset val="128"/>
      </rPr>
      <t>3</t>
    </r>
    <r>
      <rPr>
        <sz val="11"/>
        <color theme="1"/>
        <rFont val="ＭＳ ゴシック"/>
        <family val="2"/>
        <charset val="128"/>
      </rPr>
      <t>)</t>
    </r>
    <rPh sb="1" eb="3">
      <t>ヒャクマン</t>
    </rPh>
    <phoneticPr fontId="4"/>
  </si>
  <si>
    <r>
      <t>　　　※9：燃料材の国産材需要は、導入容量×21m</t>
    </r>
    <r>
      <rPr>
        <vertAlign val="superscript"/>
        <sz val="11"/>
        <color theme="1"/>
        <rFont val="ＭＳ ゴシック"/>
        <family val="3"/>
        <charset val="128"/>
      </rPr>
      <t>3</t>
    </r>
    <r>
      <rPr>
        <sz val="11"/>
        <color theme="1"/>
        <rFont val="ＭＳ ゴシック"/>
        <family val="2"/>
        <charset val="128"/>
      </rPr>
      <t>/kW で算出</t>
    </r>
    <rPh sb="6" eb="8">
      <t>ネンリョウ</t>
    </rPh>
    <rPh sb="8" eb="9">
      <t>ザイ</t>
    </rPh>
    <rPh sb="10" eb="13">
      <t>コクサンザイ</t>
    </rPh>
    <rPh sb="13" eb="15">
      <t>ジュヨウ</t>
    </rPh>
    <rPh sb="17" eb="19">
      <t>ドウニュウ</t>
    </rPh>
    <rPh sb="19" eb="21">
      <t>ヨウリョウ</t>
    </rPh>
    <rPh sb="31" eb="33">
      <t>サンシュツ</t>
    </rPh>
    <phoneticPr fontId="4"/>
  </si>
  <si>
    <r>
      <t>1ha当たり素材生産量(m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/ha)</t>
    </r>
    <rPh sb="3" eb="4">
      <t>アタ</t>
    </rPh>
    <rPh sb="6" eb="8">
      <t>ソザイ</t>
    </rPh>
    <rPh sb="8" eb="10">
      <t>セイサン</t>
    </rPh>
    <rPh sb="10" eb="11">
      <t>リョウ</t>
    </rPh>
    <phoneticPr fontId="12"/>
  </si>
  <si>
    <r>
      <t>立木材積価格
(円/m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)</t>
    </r>
    <rPh sb="0" eb="2">
      <t>タチキ</t>
    </rPh>
    <rPh sb="2" eb="4">
      <t>ザイセキ</t>
    </rPh>
    <rPh sb="4" eb="6">
      <t>カカク</t>
    </rPh>
    <rPh sb="8" eb="9">
      <t>エン</t>
    </rPh>
    <phoneticPr fontId="12"/>
  </si>
  <si>
    <r>
      <t>素材換算立木価格
(円/m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)</t>
    </r>
    <rPh sb="0" eb="2">
      <t>ソザイ</t>
    </rPh>
    <rPh sb="2" eb="4">
      <t>カンサン</t>
    </rPh>
    <rPh sb="4" eb="6">
      <t>タチキ</t>
    </rPh>
    <rPh sb="6" eb="8">
      <t>カカク</t>
    </rPh>
    <rPh sb="10" eb="11">
      <t>エン</t>
    </rPh>
    <phoneticPr fontId="12"/>
  </si>
  <si>
    <r>
      <t>1ha当たり立木材積(m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/ha)</t>
    </r>
    <rPh sb="3" eb="4">
      <t>ア</t>
    </rPh>
    <rPh sb="6" eb="8">
      <t>タチキ</t>
    </rPh>
    <rPh sb="8" eb="10">
      <t>ザイセキ</t>
    </rPh>
    <phoneticPr fontId="12"/>
  </si>
  <si>
    <r>
      <t>1ha当たり立木材積(m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/ha</t>
    </r>
    <r>
      <rPr>
        <sz val="11"/>
        <rFont val="ＭＳ ゴシック"/>
        <family val="3"/>
        <charset val="128"/>
      </rPr>
      <t>)</t>
    </r>
    <rPh sb="3" eb="4">
      <t>ア</t>
    </rPh>
    <rPh sb="6" eb="8">
      <t>タチキ</t>
    </rPh>
    <rPh sb="8" eb="10">
      <t>ザイセキ</t>
    </rPh>
    <phoneticPr fontId="12"/>
  </si>
  <si>
    <r>
      <t>(単位: 百万m</t>
    </r>
    <r>
      <rPr>
        <vertAlign val="superscript"/>
        <sz val="11"/>
        <color theme="1"/>
        <rFont val="ＭＳ ゴシック"/>
        <family val="3"/>
        <charset val="128"/>
      </rPr>
      <t>3</t>
    </r>
    <r>
      <rPr>
        <sz val="11"/>
        <color theme="1"/>
        <rFont val="ＭＳ ゴシック"/>
        <family val="2"/>
        <charset val="128"/>
      </rPr>
      <t>, %)</t>
    </r>
    <rPh sb="1" eb="3">
      <t>タンイ</t>
    </rPh>
    <rPh sb="5" eb="7">
      <t>ヒャクマン</t>
    </rPh>
    <phoneticPr fontId="4"/>
  </si>
  <si>
    <r>
      <t>木材供給量 (百万m</t>
    </r>
    <r>
      <rPr>
        <vertAlign val="superscript"/>
        <sz val="11"/>
        <color theme="1"/>
        <rFont val="ＭＳ ゴシック"/>
        <family val="3"/>
        <charset val="128"/>
      </rPr>
      <t>3</t>
    </r>
    <r>
      <rPr>
        <sz val="11"/>
        <color theme="1"/>
        <rFont val="ＭＳ ゴシック"/>
        <family val="2"/>
        <charset val="128"/>
      </rPr>
      <t>)</t>
    </r>
    <rPh sb="0" eb="2">
      <t>モクザイ</t>
    </rPh>
    <rPh sb="2" eb="4">
      <t>キョウキュウ</t>
    </rPh>
    <rPh sb="4" eb="5">
      <t>リョウ</t>
    </rPh>
    <phoneticPr fontId="4"/>
  </si>
  <si>
    <r>
      <t>面積当たり伐採材積 (m</t>
    </r>
    <r>
      <rPr>
        <vertAlign val="superscript"/>
        <sz val="11"/>
        <color theme="1"/>
        <rFont val="ＭＳ ゴシック"/>
        <family val="3"/>
        <charset val="128"/>
      </rPr>
      <t>3</t>
    </r>
    <r>
      <rPr>
        <sz val="11"/>
        <color theme="1"/>
        <rFont val="ＭＳ ゴシック"/>
        <family val="2"/>
        <charset val="128"/>
      </rPr>
      <t>/ha)</t>
    </r>
    <rPh sb="0" eb="2">
      <t>メンセキ</t>
    </rPh>
    <rPh sb="2" eb="3">
      <t>ア</t>
    </rPh>
    <rPh sb="5" eb="7">
      <t>バッサイ</t>
    </rPh>
    <rPh sb="7" eb="9">
      <t>ザイセキ</t>
    </rPh>
    <phoneticPr fontId="4"/>
  </si>
  <si>
    <r>
      <t>伐採材積 (百万m</t>
    </r>
    <r>
      <rPr>
        <vertAlign val="superscript"/>
        <sz val="11"/>
        <color theme="1"/>
        <rFont val="ＭＳ ゴシック"/>
        <family val="3"/>
        <charset val="128"/>
      </rPr>
      <t>3</t>
    </r>
    <r>
      <rPr>
        <sz val="11"/>
        <color theme="1"/>
        <rFont val="ＭＳ ゴシック"/>
        <family val="2"/>
        <charset val="128"/>
      </rPr>
      <t>)</t>
    </r>
    <rPh sb="0" eb="2">
      <t>バッサイ</t>
    </rPh>
    <rPh sb="2" eb="4">
      <t>ザイセキ</t>
    </rPh>
    <phoneticPr fontId="4"/>
  </si>
  <si>
    <r>
      <t>(m</t>
    </r>
    <r>
      <rPr>
        <vertAlign val="superscript"/>
        <sz val="11"/>
        <color theme="1"/>
        <rFont val="ＭＳ ゴシック"/>
        <family val="3"/>
        <charset val="128"/>
      </rPr>
      <t>3</t>
    </r>
    <r>
      <rPr>
        <sz val="11"/>
        <color theme="1"/>
        <rFont val="ＭＳ ゴシック"/>
        <family val="2"/>
        <charset val="128"/>
      </rPr>
      <t>/人日)</t>
    </r>
    <rPh sb="4" eb="5">
      <t>ニン</t>
    </rPh>
    <rPh sb="5" eb="6">
      <t>ニチ</t>
    </rPh>
    <phoneticPr fontId="4"/>
  </si>
  <si>
    <r>
      <t>(百万m</t>
    </r>
    <r>
      <rPr>
        <vertAlign val="superscript"/>
        <sz val="11"/>
        <color theme="1"/>
        <rFont val="ＭＳ ゴシック"/>
        <family val="3"/>
        <charset val="128"/>
      </rPr>
      <t>3</t>
    </r>
    <r>
      <rPr>
        <sz val="11"/>
        <color theme="1"/>
        <rFont val="ＭＳ ゴシック"/>
        <family val="2"/>
        <charset val="128"/>
      </rPr>
      <t>)</t>
    </r>
    <phoneticPr fontId="4"/>
  </si>
  <si>
    <r>
      <t>(m</t>
    </r>
    <r>
      <rPr>
        <vertAlign val="superscript"/>
        <sz val="11"/>
        <color theme="1"/>
        <rFont val="ＭＳ ゴシック"/>
        <family val="3"/>
        <charset val="128"/>
      </rPr>
      <t>3</t>
    </r>
    <r>
      <rPr>
        <sz val="11"/>
        <color theme="1"/>
        <rFont val="ＭＳ ゴシック"/>
        <family val="2"/>
        <charset val="128"/>
      </rPr>
      <t>/人日)</t>
    </r>
    <phoneticPr fontId="4"/>
  </si>
  <si>
    <r>
      <t>(百万m</t>
    </r>
    <r>
      <rPr>
        <vertAlign val="superscript"/>
        <sz val="11"/>
        <color theme="1"/>
        <rFont val="ＭＳ ゴシック"/>
        <family val="3"/>
        <charset val="128"/>
      </rPr>
      <t>3</t>
    </r>
    <r>
      <rPr>
        <sz val="11"/>
        <color theme="1"/>
        <rFont val="ＭＳ ゴシック"/>
        <family val="2"/>
        <charset val="128"/>
      </rPr>
      <t>)</t>
    </r>
    <phoneticPr fontId="4"/>
  </si>
  <si>
    <r>
      <t>(百万m</t>
    </r>
    <r>
      <rPr>
        <vertAlign val="superscript"/>
        <sz val="11"/>
        <color theme="1"/>
        <rFont val="ＭＳ ゴシック"/>
        <family val="3"/>
        <charset val="128"/>
      </rPr>
      <t>3</t>
    </r>
    <r>
      <rPr>
        <sz val="11"/>
        <color theme="1"/>
        <rFont val="ＭＳ ゴシック"/>
        <family val="2"/>
        <charset val="128"/>
      </rPr>
      <t>)</t>
    </r>
    <phoneticPr fontId="4"/>
  </si>
  <si>
    <r>
      <t>(m</t>
    </r>
    <r>
      <rPr>
        <vertAlign val="superscript"/>
        <sz val="11"/>
        <color theme="1"/>
        <rFont val="ＭＳ ゴシック"/>
        <family val="3"/>
        <charset val="128"/>
      </rPr>
      <t>3</t>
    </r>
    <r>
      <rPr>
        <sz val="11"/>
        <color theme="1"/>
        <rFont val="ＭＳ ゴシック"/>
        <family val="2"/>
        <charset val="128"/>
      </rPr>
      <t>/人日)</t>
    </r>
    <phoneticPr fontId="4"/>
  </si>
  <si>
    <r>
      <t>(m</t>
    </r>
    <r>
      <rPr>
        <vertAlign val="superscript"/>
        <sz val="11"/>
        <color theme="1"/>
        <rFont val="ＭＳ ゴシック"/>
        <family val="3"/>
        <charset val="128"/>
      </rPr>
      <t>3</t>
    </r>
    <r>
      <rPr>
        <sz val="11"/>
        <color theme="1"/>
        <rFont val="ＭＳ ゴシック"/>
        <family val="2"/>
        <charset val="128"/>
      </rPr>
      <t>/人日)</t>
    </r>
    <phoneticPr fontId="4"/>
  </si>
  <si>
    <t>（注）※1、※2 はTable 14 に同じ</t>
    <rPh sb="1" eb="2">
      <t>チュウ</t>
    </rPh>
    <rPh sb="20" eb="21">
      <t>オナ</t>
    </rPh>
    <phoneticPr fontId="4"/>
  </si>
  <si>
    <t>　　　用いた素材生産性は、Table 13 を参照</t>
    <rPh sb="3" eb="4">
      <t>モチ</t>
    </rPh>
    <rPh sb="6" eb="8">
      <t>ソザイ</t>
    </rPh>
    <rPh sb="8" eb="11">
      <t>セイサンセイ</t>
    </rPh>
    <rPh sb="23" eb="25">
      <t>サンショウ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</si>
</sst>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1" formatCode="_ * #,##0_ ;_ * \-#,##0_ ;_ * &quot;-&quot;_ ;_ @_ "/>
    <numFmt numFmtId="176" formatCode="#,##0_ "/>
    <numFmt numFmtId="177" formatCode="0.000%"/>
    <numFmt numFmtId="178" formatCode="0.0_);[Red]\(0.0\)"/>
    <numFmt numFmtId="179" formatCode="0.0%"/>
    <numFmt numFmtId="180" formatCode="0.0%_ "/>
    <numFmt numFmtId="181" formatCode="0.000%_ "/>
    <numFmt numFmtId="182" formatCode="0.000%_ ;"/>
    <numFmt numFmtId="183" formatCode="#,##0.0_ "/>
    <numFmt numFmtId="184" formatCode="0.000%_ ;\-0.0%_ "/>
    <numFmt numFmtId="185" formatCode="_ * #,##0.0_ ;_ * \-#,##0.0_ ;_ * &quot;-&quot;_ ;_ @_ "/>
    <numFmt numFmtId="186" formatCode="0%_ "/>
    <numFmt numFmtId="187" formatCode="#,##0.00_ "/>
    <numFmt numFmtId="188" formatCode="\(#,##0\)"/>
    <numFmt numFmtId="189" formatCode="0.00%_ "/>
    <numFmt numFmtId="190" formatCode="0_);[Red]\(0\)"/>
    <numFmt numFmtId="191" formatCode="0.0_ "/>
    <numFmt numFmtId="192" formatCode="0_ "/>
  </numFmts>
  <fonts count="29">
    <font>
      <sz val="11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2"/>
      <charset val="128"/>
    </font>
    <font>
      <sz val="9"/>
      <color rgb="FFCC00FF"/>
      <name val="ＭＳ ゴシック"/>
      <family val="2"/>
      <charset val="128"/>
    </font>
    <font>
      <sz val="6"/>
      <name val="ＭＳ ゴシック"/>
      <family val="2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color rgb="FF00B050"/>
      <name val="ＭＳ ゴシック"/>
      <family val="2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Terminal"/>
      <charset val="128"/>
    </font>
    <font>
      <sz val="11"/>
      <color rgb="FFCC00FF"/>
      <name val="ＭＳ ゴシック"/>
      <family val="2"/>
      <charset val="128"/>
    </font>
    <font>
      <sz val="11"/>
      <color rgb="FFCC00FF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1"/>
      <color rgb="FF9900FF"/>
      <name val="ＭＳ ゴシック"/>
      <family val="3"/>
      <charset val="128"/>
    </font>
    <font>
      <sz val="10"/>
      <color rgb="FF000000"/>
      <name val="Times New Roman"/>
      <family val="1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1"/>
      <name val="明朝"/>
      <family val="1"/>
      <charset val="128"/>
    </font>
    <font>
      <sz val="9"/>
      <name val="ＭＳ 明朝"/>
      <family val="1"/>
      <charset val="128"/>
    </font>
    <font>
      <b/>
      <sz val="15"/>
      <color theme="3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b/>
      <sz val="11"/>
      <color rgb="FFCC00FF"/>
      <name val="ＭＳ ゴシック"/>
      <family val="3"/>
      <charset val="128"/>
    </font>
    <font>
      <vertAlign val="superscript"/>
      <sz val="11"/>
      <color theme="1"/>
      <name val="ＭＳ ゴシック"/>
      <family val="3"/>
      <charset val="128"/>
    </font>
    <font>
      <vertAlign val="superscript"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38" fontId="20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/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>
      <alignment vertical="center"/>
    </xf>
    <xf numFmtId="9" fontId="7" fillId="0" borderId="0" applyFont="0" applyFill="0" applyBorder="0" applyAlignment="0" applyProtection="0">
      <alignment vertical="center"/>
    </xf>
  </cellStyleXfs>
  <cellXfs count="29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0" fontId="5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>
      <alignment vertical="center"/>
    </xf>
    <xf numFmtId="177" fontId="0" fillId="0" borderId="1" xfId="2" applyNumberFormat="1" applyFont="1" applyBorder="1" applyAlignment="1">
      <alignment horizontal="center" vertical="center"/>
    </xf>
    <xf numFmtId="178" fontId="6" fillId="0" borderId="1" xfId="0" quotePrefix="1" applyNumberFormat="1" applyFont="1" applyBorder="1">
      <alignment vertical="center"/>
    </xf>
    <xf numFmtId="176" fontId="0" fillId="0" borderId="0" xfId="0" applyNumberFormat="1" applyBorder="1">
      <alignment vertical="center"/>
    </xf>
    <xf numFmtId="176" fontId="6" fillId="0" borderId="0" xfId="0" quotePrefix="1" applyNumberFormat="1" applyFont="1" applyBorder="1">
      <alignment vertical="center"/>
    </xf>
    <xf numFmtId="177" fontId="0" fillId="0" borderId="0" xfId="2" applyNumberFormat="1" applyFont="1" applyBorder="1" applyAlignment="1">
      <alignment horizontal="center" vertical="center"/>
    </xf>
    <xf numFmtId="177" fontId="0" fillId="0" borderId="0" xfId="2" applyNumberFormat="1" applyFont="1" applyAlignment="1">
      <alignment horizontal="center" vertical="center"/>
    </xf>
    <xf numFmtId="1" fontId="0" fillId="0" borderId="0" xfId="0" applyNumberFormat="1">
      <alignment vertical="center"/>
    </xf>
    <xf numFmtId="178" fontId="0" fillId="0" borderId="0" xfId="0" applyNumberFormat="1">
      <alignment vertical="center"/>
    </xf>
    <xf numFmtId="176" fontId="0" fillId="0" borderId="0" xfId="1" applyNumberFormat="1" applyFont="1">
      <alignment vertical="center"/>
    </xf>
    <xf numFmtId="178" fontId="0" fillId="0" borderId="1" xfId="0" applyNumberFormat="1" applyBorder="1">
      <alignment vertical="center"/>
    </xf>
    <xf numFmtId="176" fontId="0" fillId="0" borderId="1" xfId="1" applyNumberFormat="1" applyFont="1" applyBorder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177" fontId="0" fillId="0" borderId="1" xfId="2" applyNumberFormat="1" applyFont="1" applyBorder="1">
      <alignment vertical="center"/>
    </xf>
    <xf numFmtId="179" fontId="0" fillId="0" borderId="1" xfId="2" applyNumberFormat="1" applyFont="1" applyBorder="1">
      <alignment vertical="center"/>
    </xf>
    <xf numFmtId="0" fontId="0" fillId="0" borderId="0" xfId="0" applyAlignment="1">
      <alignment horizontal="right" vertical="center"/>
    </xf>
    <xf numFmtId="1" fontId="0" fillId="0" borderId="1" xfId="0" applyNumberFormat="1" applyBorder="1">
      <alignment vertical="center"/>
    </xf>
    <xf numFmtId="0" fontId="0" fillId="2" borderId="0" xfId="0" applyFill="1">
      <alignment vertical="center"/>
    </xf>
    <xf numFmtId="1" fontId="0" fillId="2" borderId="0" xfId="0" applyNumberFormat="1" applyFill="1">
      <alignment vertical="center"/>
    </xf>
    <xf numFmtId="1" fontId="7" fillId="2" borderId="0" xfId="0" applyNumberFormat="1" applyFont="1" applyFill="1">
      <alignment vertical="center"/>
    </xf>
    <xf numFmtId="0" fontId="0" fillId="2" borderId="0" xfId="0" applyNumberFormat="1" applyFill="1">
      <alignment vertical="center"/>
    </xf>
    <xf numFmtId="176" fontId="0" fillId="2" borderId="0" xfId="0" applyNumberFormat="1" applyFill="1">
      <alignment vertical="center"/>
    </xf>
    <xf numFmtId="0" fontId="6" fillId="0" borderId="0" xfId="0" applyFont="1">
      <alignment vertical="center"/>
    </xf>
    <xf numFmtId="0" fontId="0" fillId="0" borderId="3" xfId="0" applyFill="1" applyBorder="1" applyAlignment="1">
      <alignment horizontal="center" vertical="center" wrapText="1"/>
    </xf>
    <xf numFmtId="176" fontId="0" fillId="0" borderId="0" xfId="0" applyNumberFormat="1" applyFill="1">
      <alignment vertical="center"/>
    </xf>
    <xf numFmtId="180" fontId="0" fillId="0" borderId="0" xfId="2" applyNumberFormat="1" applyFont="1" applyBorder="1">
      <alignment vertical="center"/>
    </xf>
    <xf numFmtId="1" fontId="0" fillId="0" borderId="0" xfId="0" applyNumberFormat="1" applyBorder="1">
      <alignment vertical="center"/>
    </xf>
    <xf numFmtId="0" fontId="0" fillId="0" borderId="1" xfId="0" applyNumberFormat="1" applyBorder="1">
      <alignment vertical="center"/>
    </xf>
    <xf numFmtId="181" fontId="0" fillId="0" borderId="0" xfId="2" applyNumberFormat="1" applyFont="1">
      <alignment vertical="center"/>
    </xf>
    <xf numFmtId="0" fontId="0" fillId="0" borderId="0" xfId="0" applyNumberFormat="1">
      <alignment vertical="center"/>
    </xf>
    <xf numFmtId="182" fontId="0" fillId="0" borderId="0" xfId="2" applyNumberFormat="1" applyFont="1">
      <alignment vertical="center"/>
    </xf>
    <xf numFmtId="182" fontId="0" fillId="0" borderId="1" xfId="2" applyNumberFormat="1" applyFont="1" applyBorder="1">
      <alignment vertical="center"/>
    </xf>
    <xf numFmtId="183" fontId="0" fillId="0" borderId="0" xfId="0" applyNumberFormat="1">
      <alignment vertical="center"/>
    </xf>
    <xf numFmtId="183" fontId="0" fillId="0" borderId="1" xfId="0" applyNumberFormat="1" applyBorder="1">
      <alignment vertical="center"/>
    </xf>
    <xf numFmtId="184" fontId="0" fillId="0" borderId="0" xfId="2" applyNumberFormat="1" applyFont="1">
      <alignment vertical="center"/>
    </xf>
    <xf numFmtId="0" fontId="0" fillId="0" borderId="0" xfId="0" applyAlignment="1">
      <alignment vertical="center"/>
    </xf>
    <xf numFmtId="184" fontId="0" fillId="0" borderId="1" xfId="2" applyNumberFormat="1" applyFont="1" applyBorder="1">
      <alignment vertical="center"/>
    </xf>
    <xf numFmtId="0" fontId="8" fillId="0" borderId="0" xfId="0" applyFont="1">
      <alignment vertical="center"/>
    </xf>
    <xf numFmtId="0" fontId="0" fillId="0" borderId="0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vertical="top" wrapText="1"/>
    </xf>
    <xf numFmtId="176" fontId="0" fillId="0" borderId="0" xfId="0" applyNumberFormat="1" applyAlignment="1">
      <alignment vertical="center"/>
    </xf>
    <xf numFmtId="183" fontId="0" fillId="0" borderId="0" xfId="0" applyNumberFormat="1" applyAlignment="1">
      <alignment vertical="center"/>
    </xf>
    <xf numFmtId="180" fontId="0" fillId="0" borderId="0" xfId="0" applyNumberFormat="1" applyAlignment="1">
      <alignment vertical="center"/>
    </xf>
    <xf numFmtId="183" fontId="0" fillId="0" borderId="0" xfId="1" applyNumberFormat="1" applyFont="1" applyAlignment="1">
      <alignment vertical="center"/>
    </xf>
    <xf numFmtId="185" fontId="0" fillId="0" borderId="0" xfId="1" applyNumberFormat="1" applyFont="1" applyAlignment="1">
      <alignment vertical="center"/>
    </xf>
    <xf numFmtId="185" fontId="0" fillId="0" borderId="0" xfId="0" applyNumberFormat="1" applyAlignment="1">
      <alignment vertical="center"/>
    </xf>
    <xf numFmtId="186" fontId="0" fillId="0" borderId="0" xfId="0" applyNumberFormat="1" applyAlignment="1">
      <alignment vertical="center"/>
    </xf>
    <xf numFmtId="176" fontId="0" fillId="0" borderId="1" xfId="0" applyNumberFormat="1" applyBorder="1" applyAlignment="1">
      <alignment vertical="center"/>
    </xf>
    <xf numFmtId="183" fontId="0" fillId="0" borderId="1" xfId="0" applyNumberFormat="1" applyBorder="1" applyAlignment="1">
      <alignment vertical="center"/>
    </xf>
    <xf numFmtId="180" fontId="0" fillId="0" borderId="1" xfId="0" applyNumberFormat="1" applyBorder="1" applyAlignment="1">
      <alignment vertical="center"/>
    </xf>
    <xf numFmtId="183" fontId="0" fillId="0" borderId="1" xfId="1" applyNumberFormat="1" applyFont="1" applyBorder="1" applyAlignment="1">
      <alignment vertical="center"/>
    </xf>
    <xf numFmtId="186" fontId="0" fillId="0" borderId="1" xfId="0" applyNumberFormat="1" applyBorder="1" applyAlignment="1">
      <alignment vertical="center"/>
    </xf>
    <xf numFmtId="185" fontId="0" fillId="0" borderId="1" xfId="0" applyNumberFormat="1" applyBorder="1" applyAlignment="1">
      <alignment vertical="center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vertical="center" wrapText="1"/>
    </xf>
    <xf numFmtId="185" fontId="0" fillId="0" borderId="0" xfId="1" applyNumberFormat="1" applyFont="1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176" fontId="6" fillId="0" borderId="0" xfId="0" applyNumberFormat="1" applyFont="1">
      <alignment vertical="center"/>
    </xf>
    <xf numFmtId="176" fontId="0" fillId="0" borderId="0" xfId="0" applyNumberFormat="1" applyFont="1">
      <alignment vertical="center"/>
    </xf>
    <xf numFmtId="176" fontId="0" fillId="0" borderId="0" xfId="0" applyNumberFormat="1" applyFont="1" applyAlignment="1">
      <alignment horizontal="center" vertical="center"/>
    </xf>
    <xf numFmtId="176" fontId="6" fillId="0" borderId="1" xfId="0" applyNumberFormat="1" applyFont="1" applyBorder="1">
      <alignment vertical="center"/>
    </xf>
    <xf numFmtId="176" fontId="0" fillId="0" borderId="0" xfId="0" applyNumberFormat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86" fontId="0" fillId="0" borderId="0" xfId="2" applyNumberFormat="1" applyFont="1">
      <alignment vertical="center"/>
    </xf>
    <xf numFmtId="9" fontId="0" fillId="0" borderId="1" xfId="2" applyFont="1" applyBorder="1">
      <alignment vertical="center"/>
    </xf>
    <xf numFmtId="186" fontId="0" fillId="0" borderId="1" xfId="2" applyNumberFormat="1" applyFont="1" applyBorder="1">
      <alignment vertical="center"/>
    </xf>
    <xf numFmtId="9" fontId="0" fillId="0" borderId="0" xfId="2" applyFont="1">
      <alignment vertical="center"/>
    </xf>
    <xf numFmtId="0" fontId="0" fillId="0" borderId="3" xfId="0" applyBorder="1">
      <alignment vertical="center"/>
    </xf>
    <xf numFmtId="186" fontId="0" fillId="0" borderId="3" xfId="2" applyNumberFormat="1" applyFont="1" applyBorder="1">
      <alignment vertical="center"/>
    </xf>
    <xf numFmtId="0" fontId="3" fillId="0" borderId="0" xfId="3" applyFont="1">
      <alignment vertical="center"/>
    </xf>
    <xf numFmtId="0" fontId="9" fillId="0" borderId="0" xfId="3" applyFont="1">
      <alignment vertical="center"/>
    </xf>
    <xf numFmtId="0" fontId="11" fillId="0" borderId="0" xfId="3">
      <alignment vertical="center"/>
    </xf>
    <xf numFmtId="0" fontId="9" fillId="0" borderId="1" xfId="3" applyFont="1" applyBorder="1">
      <alignment vertical="center"/>
    </xf>
    <xf numFmtId="0" fontId="9" fillId="0" borderId="0" xfId="3" applyFont="1" applyAlignment="1">
      <alignment horizontal="center" vertical="center"/>
    </xf>
    <xf numFmtId="0" fontId="9" fillId="0" borderId="0" xfId="3" applyFont="1" applyAlignment="1">
      <alignment horizontal="center" vertical="top" wrapText="1"/>
    </xf>
    <xf numFmtId="0" fontId="9" fillId="0" borderId="1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176" fontId="9" fillId="0" borderId="0" xfId="3" applyNumberFormat="1" applyFont="1">
      <alignment vertical="center"/>
    </xf>
    <xf numFmtId="176" fontId="9" fillId="0" borderId="0" xfId="3" applyNumberFormat="1" applyFont="1" applyFill="1">
      <alignment vertical="center"/>
    </xf>
    <xf numFmtId="0" fontId="6" fillId="0" borderId="0" xfId="3" applyFont="1">
      <alignment vertical="center"/>
    </xf>
    <xf numFmtId="187" fontId="6" fillId="0" borderId="0" xfId="3" applyNumberFormat="1" applyFont="1">
      <alignment vertical="center"/>
    </xf>
    <xf numFmtId="176" fontId="9" fillId="0" borderId="1" xfId="3" applyNumberFormat="1" applyFont="1" applyBorder="1">
      <alignment vertical="center"/>
    </xf>
    <xf numFmtId="176" fontId="9" fillId="0" borderId="1" xfId="3" applyNumberFormat="1" applyFont="1" applyFill="1" applyBorder="1">
      <alignment vertical="center"/>
    </xf>
    <xf numFmtId="187" fontId="6" fillId="0" borderId="1" xfId="3" applyNumberFormat="1" applyFont="1" applyBorder="1">
      <alignment vertical="center"/>
    </xf>
    <xf numFmtId="0" fontId="9" fillId="0" borderId="1" xfId="3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top" wrapText="1"/>
    </xf>
    <xf numFmtId="0" fontId="0" fillId="0" borderId="1" xfId="0" quotePrefix="1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quotePrefix="1" applyBorder="1" applyAlignment="1">
      <alignment horizontal="center" vertical="center"/>
    </xf>
    <xf numFmtId="186" fontId="0" fillId="0" borderId="0" xfId="0" applyNumberFormat="1">
      <alignment vertical="center"/>
    </xf>
    <xf numFmtId="186" fontId="0" fillId="0" borderId="1" xfId="0" applyNumberFormat="1" applyBorder="1">
      <alignment vertical="center"/>
    </xf>
    <xf numFmtId="183" fontId="0" fillId="0" borderId="0" xfId="0" applyNumberFormat="1" applyBorder="1">
      <alignment vertical="center"/>
    </xf>
    <xf numFmtId="0" fontId="0" fillId="0" borderId="0" xfId="0" quotePrefix="1">
      <alignment vertical="center"/>
    </xf>
    <xf numFmtId="0" fontId="6" fillId="0" borderId="1" xfId="0" quotePrefix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quotePrefix="1" applyFont="1">
      <alignment vertical="center"/>
    </xf>
    <xf numFmtId="186" fontId="0" fillId="0" borderId="0" xfId="0" applyNumberFormat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9" fontId="0" fillId="0" borderId="0" xfId="0" applyNumberFormat="1">
      <alignment vertical="center"/>
    </xf>
    <xf numFmtId="3" fontId="0" fillId="0" borderId="1" xfId="0" applyNumberForma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188" fontId="0" fillId="0" borderId="1" xfId="0" applyNumberFormat="1" applyBorder="1">
      <alignment vertical="center"/>
    </xf>
    <xf numFmtId="180" fontId="0" fillId="0" borderId="0" xfId="0" applyNumberFormat="1">
      <alignment vertical="center"/>
    </xf>
    <xf numFmtId="189" fontId="0" fillId="0" borderId="0" xfId="0" applyNumberFormat="1">
      <alignment vertical="center"/>
    </xf>
    <xf numFmtId="180" fontId="0" fillId="0" borderId="1" xfId="0" applyNumberFormat="1" applyBorder="1">
      <alignment vertical="center"/>
    </xf>
    <xf numFmtId="189" fontId="0" fillId="0" borderId="1" xfId="0" applyNumberFormat="1" applyBorder="1">
      <alignment vertical="center"/>
    </xf>
    <xf numFmtId="180" fontId="0" fillId="0" borderId="0" xfId="0" applyNumberFormat="1" applyBorder="1">
      <alignment vertical="center"/>
    </xf>
    <xf numFmtId="0" fontId="0" fillId="0" borderId="2" xfId="0" applyBorder="1" applyAlignment="1">
      <alignment vertical="center"/>
    </xf>
    <xf numFmtId="183" fontId="0" fillId="0" borderId="0" xfId="0" applyNumberFormat="1" applyFill="1">
      <alignment vertical="center"/>
    </xf>
    <xf numFmtId="0" fontId="0" fillId="0" borderId="2" xfId="0" applyBorder="1">
      <alignment vertical="center"/>
    </xf>
    <xf numFmtId="0" fontId="0" fillId="0" borderId="0" xfId="0" applyBorder="1" applyAlignment="1">
      <alignment vertical="top"/>
    </xf>
    <xf numFmtId="0" fontId="0" fillId="0" borderId="1" xfId="0" applyFill="1" applyBorder="1" applyAlignment="1">
      <alignment vertical="center" wrapText="1"/>
    </xf>
    <xf numFmtId="191" fontId="0" fillId="0" borderId="0" xfId="0" applyNumberFormat="1" applyAlignment="1">
      <alignment vertical="center"/>
    </xf>
    <xf numFmtId="191" fontId="0" fillId="0" borderId="1" xfId="0" applyNumberFormat="1" applyBorder="1" applyAlignment="1">
      <alignment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191" fontId="0" fillId="0" borderId="0" xfId="0" applyNumberFormat="1" applyFill="1" applyAlignment="1">
      <alignment vertical="center"/>
    </xf>
    <xf numFmtId="191" fontId="0" fillId="0" borderId="1" xfId="0" applyNumberFormat="1" applyFill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5" fillId="0" borderId="2" xfId="0" applyFont="1" applyBorder="1">
      <alignment vertical="center"/>
    </xf>
    <xf numFmtId="0" fontId="0" fillId="0" borderId="2" xfId="0" applyBorder="1" applyAlignment="1">
      <alignment vertical="top" wrapText="1"/>
    </xf>
    <xf numFmtId="176" fontId="0" fillId="0" borderId="0" xfId="0" applyNumberFormat="1" applyBorder="1" applyAlignment="1">
      <alignment horizontal="center" vertical="top" wrapText="1"/>
    </xf>
    <xf numFmtId="176" fontId="0" fillId="0" borderId="0" xfId="0" applyNumberFormat="1" applyBorder="1" applyAlignment="1">
      <alignment vertical="top"/>
    </xf>
    <xf numFmtId="0" fontId="0" fillId="0" borderId="1" xfId="0" applyBorder="1" applyAlignment="1">
      <alignment horizontal="left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Border="1" applyAlignment="1">
      <alignment horizontal="left" wrapText="1"/>
    </xf>
    <xf numFmtId="183" fontId="0" fillId="0" borderId="0" xfId="0" applyNumberFormat="1" applyBorder="1" applyAlignment="1">
      <alignment horizontal="center" vertical="center"/>
    </xf>
    <xf numFmtId="183" fontId="0" fillId="0" borderId="0" xfId="0" applyNumberFormat="1" applyBorder="1" applyAlignment="1">
      <alignment vertical="center"/>
    </xf>
    <xf numFmtId="183" fontId="0" fillId="0" borderId="1" xfId="0" applyNumberForma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4" fillId="0" borderId="0" xfId="0" applyFont="1">
      <alignment vertical="center"/>
    </xf>
    <xf numFmtId="0" fontId="14" fillId="2" borderId="0" xfId="0" applyFont="1" applyFill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0" fillId="2" borderId="1" xfId="0" applyFill="1" applyBorder="1">
      <alignment vertical="center"/>
    </xf>
    <xf numFmtId="183" fontId="0" fillId="0" borderId="0" xfId="0" applyNumberFormat="1" applyFill="1" applyBorder="1">
      <alignment vertical="center"/>
    </xf>
    <xf numFmtId="176" fontId="0" fillId="0" borderId="0" xfId="0" applyNumberFormat="1" applyFill="1" applyBorder="1">
      <alignment vertical="center"/>
    </xf>
    <xf numFmtId="183" fontId="0" fillId="2" borderId="0" xfId="0" applyNumberFormat="1" applyFill="1">
      <alignment vertical="center"/>
    </xf>
    <xf numFmtId="187" fontId="0" fillId="0" borderId="0" xfId="0" applyNumberFormat="1">
      <alignment vertical="center"/>
    </xf>
    <xf numFmtId="187" fontId="0" fillId="0" borderId="0" xfId="0" applyNumberFormat="1" applyBorder="1">
      <alignment vertical="center"/>
    </xf>
    <xf numFmtId="187" fontId="0" fillId="0" borderId="0" xfId="0" applyNumberFormat="1" applyFill="1" applyBorder="1">
      <alignment vertical="center"/>
    </xf>
    <xf numFmtId="187" fontId="0" fillId="0" borderId="1" xfId="0" applyNumberFormat="1" applyBorder="1">
      <alignment vertical="center"/>
    </xf>
    <xf numFmtId="183" fontId="0" fillId="0" borderId="1" xfId="0" applyNumberFormat="1" applyFill="1" applyBorder="1">
      <alignment vertical="center"/>
    </xf>
    <xf numFmtId="176" fontId="0" fillId="0" borderId="1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41" fontId="0" fillId="2" borderId="0" xfId="0" applyNumberFormat="1" applyFill="1">
      <alignment vertical="center"/>
    </xf>
    <xf numFmtId="180" fontId="0" fillId="2" borderId="0" xfId="0" applyNumberFormat="1" applyFill="1">
      <alignment vertical="center"/>
    </xf>
    <xf numFmtId="189" fontId="0" fillId="2" borderId="0" xfId="0" applyNumberFormat="1" applyFill="1">
      <alignment vertical="center"/>
    </xf>
    <xf numFmtId="180" fontId="0" fillId="2" borderId="1" xfId="0" applyNumberFormat="1" applyFill="1" applyBorder="1">
      <alignment vertical="center"/>
    </xf>
    <xf numFmtId="189" fontId="0" fillId="2" borderId="1" xfId="0" applyNumberFormat="1" applyFill="1" applyBorder="1">
      <alignment vertical="center"/>
    </xf>
    <xf numFmtId="0" fontId="0" fillId="2" borderId="0" xfId="0" applyFill="1" applyBorder="1">
      <alignment vertical="center"/>
    </xf>
    <xf numFmtId="176" fontId="0" fillId="2" borderId="0" xfId="0" applyNumberFormat="1" applyFill="1" applyBorder="1">
      <alignment vertical="center"/>
    </xf>
    <xf numFmtId="176" fontId="0" fillId="2" borderId="2" xfId="0" applyNumberFormat="1" applyFill="1" applyBorder="1">
      <alignment vertical="center"/>
    </xf>
    <xf numFmtId="180" fontId="0" fillId="2" borderId="0" xfId="0" applyNumberFormat="1" applyFill="1" applyBorder="1">
      <alignment vertical="center"/>
    </xf>
    <xf numFmtId="176" fontId="0" fillId="2" borderId="1" xfId="0" applyNumberFormat="1" applyFill="1" applyBorder="1">
      <alignment vertical="center"/>
    </xf>
    <xf numFmtId="0" fontId="0" fillId="2" borderId="2" xfId="0" applyFill="1" applyBorder="1" applyAlignment="1">
      <alignment horizontal="center" vertical="top" wrapText="1"/>
    </xf>
    <xf numFmtId="189" fontId="0" fillId="2" borderId="0" xfId="0" applyNumberFormat="1" applyFill="1" applyBorder="1">
      <alignment vertical="center"/>
    </xf>
    <xf numFmtId="0" fontId="0" fillId="2" borderId="1" xfId="0" applyFill="1" applyBorder="1" applyAlignment="1">
      <alignment horizontal="center" vertical="top" wrapText="1"/>
    </xf>
    <xf numFmtId="186" fontId="0" fillId="2" borderId="1" xfId="0" applyNumberFormat="1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183" fontId="0" fillId="2" borderId="1" xfId="0" applyNumberFormat="1" applyFill="1" applyBorder="1">
      <alignment vertical="center"/>
    </xf>
    <xf numFmtId="41" fontId="0" fillId="2" borderId="1" xfId="0" applyNumberFormat="1" applyFill="1" applyBorder="1">
      <alignment vertical="center"/>
    </xf>
    <xf numFmtId="186" fontId="17" fillId="2" borderId="1" xfId="0" applyNumberFormat="1" applyFont="1" applyFill="1" applyBorder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92" fontId="0" fillId="0" borderId="0" xfId="0" applyNumberFormat="1" applyAlignment="1">
      <alignment vertical="center"/>
    </xf>
    <xf numFmtId="190" fontId="0" fillId="0" borderId="0" xfId="0" applyNumberFormat="1" applyAlignment="1">
      <alignment vertical="center"/>
    </xf>
    <xf numFmtId="192" fontId="0" fillId="0" borderId="1" xfId="0" applyNumberFormat="1" applyBorder="1" applyAlignment="1">
      <alignment vertical="center"/>
    </xf>
    <xf numFmtId="190" fontId="0" fillId="0" borderId="1" xfId="0" applyNumberFormat="1" applyBorder="1" applyAlignment="1">
      <alignment vertical="center"/>
    </xf>
    <xf numFmtId="192" fontId="0" fillId="0" borderId="3" xfId="0" applyNumberFormat="1" applyBorder="1" applyAlignment="1">
      <alignment vertical="center"/>
    </xf>
    <xf numFmtId="0" fontId="0" fillId="0" borderId="3" xfId="0" applyBorder="1" applyAlignment="1">
      <alignment vertical="center" wrapText="1"/>
    </xf>
    <xf numFmtId="190" fontId="0" fillId="0" borderId="3" xfId="0" applyNumberFormat="1" applyBorder="1" applyAlignment="1">
      <alignment vertical="center"/>
    </xf>
    <xf numFmtId="190" fontId="0" fillId="0" borderId="1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6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9" xfId="0" applyBorder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8" xfId="0" applyBorder="1">
      <alignment vertical="center"/>
    </xf>
    <xf numFmtId="0" fontId="0" fillId="0" borderId="8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0" xfId="0" applyAlignment="1">
      <alignment vertical="center" wrapText="1"/>
    </xf>
    <xf numFmtId="0" fontId="6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186" fontId="26" fillId="2" borderId="1" xfId="0" applyNumberFormat="1" applyFont="1" applyFill="1" applyBorder="1">
      <alignment vertical="center"/>
    </xf>
    <xf numFmtId="9" fontId="0" fillId="2" borderId="0" xfId="2" applyFont="1" applyFill="1" applyAlignment="1">
      <alignment horizontal="center" vertical="center"/>
    </xf>
    <xf numFmtId="187" fontId="0" fillId="2" borderId="0" xfId="0" applyNumberFormat="1" applyFill="1">
      <alignment vertical="center"/>
    </xf>
    <xf numFmtId="187" fontId="0" fillId="2" borderId="1" xfId="0" applyNumberFormat="1" applyFill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6" fillId="0" borderId="2" xfId="3" applyFont="1" applyBorder="1" applyAlignment="1">
      <alignment horizontal="center" vertical="top" wrapText="1"/>
    </xf>
    <xf numFmtId="0" fontId="6" fillId="0" borderId="0" xfId="3" applyFont="1" applyAlignment="1">
      <alignment horizontal="center" vertical="top" wrapText="1"/>
    </xf>
    <xf numFmtId="0" fontId="1" fillId="0" borderId="3" xfId="3" applyFont="1" applyBorder="1" applyAlignment="1">
      <alignment vertical="top" wrapText="1"/>
    </xf>
    <xf numFmtId="0" fontId="9" fillId="0" borderId="3" xfId="3" applyFont="1" applyBorder="1" applyAlignment="1">
      <alignment vertical="top" wrapText="1"/>
    </xf>
    <xf numFmtId="0" fontId="9" fillId="0" borderId="3" xfId="3" applyFont="1" applyBorder="1" applyAlignment="1">
      <alignment horizontal="center" vertical="center"/>
    </xf>
    <xf numFmtId="0" fontId="1" fillId="0" borderId="2" xfId="3" applyFont="1" applyBorder="1" applyAlignment="1">
      <alignment horizontal="center" vertical="top" wrapText="1"/>
    </xf>
    <xf numFmtId="0" fontId="9" fillId="0" borderId="0" xfId="3" applyFont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63">
    <cellStyle name="パーセント" xfId="2" builtinId="5"/>
    <cellStyle name="パーセント 2" xfId="4"/>
    <cellStyle name="パーセント 3" xfId="162"/>
    <cellStyle name="桁区切り" xfId="1" builtinId="6"/>
    <cellStyle name="桁区切り 2" xfId="5"/>
    <cellStyle name="桁区切り 2 2" xfId="6"/>
    <cellStyle name="桁区切り 3" xfId="7"/>
    <cellStyle name="桁区切り 3 2" xfId="8"/>
    <cellStyle name="桁区切り 4" xfId="9"/>
    <cellStyle name="桁区切り 5" xfId="10"/>
    <cellStyle name="桁区切り 6" xfId="11"/>
    <cellStyle name="標準" xfId="0" builtinId="0"/>
    <cellStyle name="標準 10" xfId="12"/>
    <cellStyle name="標準 100" xfId="13"/>
    <cellStyle name="標準 101" xfId="14"/>
    <cellStyle name="標準 102" xfId="15"/>
    <cellStyle name="標準 103" xfId="16"/>
    <cellStyle name="標準 104" xfId="17"/>
    <cellStyle name="標準 105" xfId="18"/>
    <cellStyle name="標準 106" xfId="19"/>
    <cellStyle name="標準 107" xfId="20"/>
    <cellStyle name="標準 108" xfId="21"/>
    <cellStyle name="標準 109" xfId="22"/>
    <cellStyle name="標準 11" xfId="23"/>
    <cellStyle name="標準 110" xfId="24"/>
    <cellStyle name="標準 111" xfId="25"/>
    <cellStyle name="標準 112" xfId="26"/>
    <cellStyle name="標準 113" xfId="27"/>
    <cellStyle name="標準 114" xfId="28"/>
    <cellStyle name="標準 115" xfId="29"/>
    <cellStyle name="標準 116" xfId="30"/>
    <cellStyle name="標準 117" xfId="31"/>
    <cellStyle name="標準 118" xfId="32"/>
    <cellStyle name="標準 119" xfId="33"/>
    <cellStyle name="標準 12" xfId="34"/>
    <cellStyle name="標準 120" xfId="35"/>
    <cellStyle name="標準 121" xfId="36"/>
    <cellStyle name="標準 122" xfId="37"/>
    <cellStyle name="標準 123" xfId="38"/>
    <cellStyle name="標準 124" xfId="39"/>
    <cellStyle name="標準 125" xfId="40"/>
    <cellStyle name="標準 126" xfId="41"/>
    <cellStyle name="標準 127" xfId="42"/>
    <cellStyle name="標準 128" xfId="43"/>
    <cellStyle name="標準 129" xfId="44"/>
    <cellStyle name="標準 13" xfId="45"/>
    <cellStyle name="標準 130" xfId="46"/>
    <cellStyle name="標準 131" xfId="47"/>
    <cellStyle name="標準 132" xfId="48"/>
    <cellStyle name="標準 133" xfId="49"/>
    <cellStyle name="標準 134" xfId="50"/>
    <cellStyle name="標準 135" xfId="51"/>
    <cellStyle name="標準 136" xfId="52"/>
    <cellStyle name="標準 137" xfId="53"/>
    <cellStyle name="標準 138" xfId="54"/>
    <cellStyle name="標準 139" xfId="55"/>
    <cellStyle name="標準 14" xfId="56"/>
    <cellStyle name="標準 140" xfId="57"/>
    <cellStyle name="標準 141" xfId="58"/>
    <cellStyle name="標準 142" xfId="59"/>
    <cellStyle name="標準 143" xfId="60"/>
    <cellStyle name="標準 144" xfId="61"/>
    <cellStyle name="標準 145" xfId="62"/>
    <cellStyle name="標準 146" xfId="63"/>
    <cellStyle name="標準 15" xfId="64"/>
    <cellStyle name="標準 16" xfId="65"/>
    <cellStyle name="標準 17" xfId="66"/>
    <cellStyle name="標準 18" xfId="67"/>
    <cellStyle name="標準 19" xfId="68"/>
    <cellStyle name="標準 2" xfId="3"/>
    <cellStyle name="標準 2 2" xfId="69"/>
    <cellStyle name="標準 2 3" xfId="70"/>
    <cellStyle name="標準 2 4" xfId="71"/>
    <cellStyle name="標準 20" xfId="72"/>
    <cellStyle name="標準 21" xfId="73"/>
    <cellStyle name="標準 22" xfId="74"/>
    <cellStyle name="標準 23" xfId="75"/>
    <cellStyle name="標準 24" xfId="76"/>
    <cellStyle name="標準 25" xfId="77"/>
    <cellStyle name="標準 26" xfId="78"/>
    <cellStyle name="標準 27" xfId="79"/>
    <cellStyle name="標準 28" xfId="80"/>
    <cellStyle name="標準 29" xfId="81"/>
    <cellStyle name="標準 3" xfId="82"/>
    <cellStyle name="標準 30" xfId="83"/>
    <cellStyle name="標準 31" xfId="84"/>
    <cellStyle name="標準 32" xfId="85"/>
    <cellStyle name="標準 33" xfId="86"/>
    <cellStyle name="標準 34" xfId="87"/>
    <cellStyle name="標準 35" xfId="88"/>
    <cellStyle name="標準 36" xfId="89"/>
    <cellStyle name="標準 37" xfId="90"/>
    <cellStyle name="標準 38" xfId="91"/>
    <cellStyle name="標準 39" xfId="92"/>
    <cellStyle name="標準 4" xfId="93"/>
    <cellStyle name="標準 4 2" xfId="94"/>
    <cellStyle name="標準 40" xfId="95"/>
    <cellStyle name="標準 41" xfId="96"/>
    <cellStyle name="標準 42" xfId="97"/>
    <cellStyle name="標準 43" xfId="98"/>
    <cellStyle name="標準 44" xfId="99"/>
    <cellStyle name="標準 45" xfId="100"/>
    <cellStyle name="標準 46" xfId="101"/>
    <cellStyle name="標準 47" xfId="102"/>
    <cellStyle name="標準 48" xfId="103"/>
    <cellStyle name="標準 49" xfId="104"/>
    <cellStyle name="標準 5" xfId="105"/>
    <cellStyle name="標準 50" xfId="106"/>
    <cellStyle name="標準 51" xfId="107"/>
    <cellStyle name="標準 52" xfId="108"/>
    <cellStyle name="標準 53" xfId="109"/>
    <cellStyle name="標準 54" xfId="110"/>
    <cellStyle name="標準 55" xfId="111"/>
    <cellStyle name="標準 56" xfId="112"/>
    <cellStyle name="標準 57" xfId="113"/>
    <cellStyle name="標準 58" xfId="114"/>
    <cellStyle name="標準 59" xfId="115"/>
    <cellStyle name="標準 6" xfId="116"/>
    <cellStyle name="標準 6 2" xfId="117"/>
    <cellStyle name="標準 6 3" xfId="161"/>
    <cellStyle name="標準 60" xfId="118"/>
    <cellStyle name="標準 61" xfId="119"/>
    <cellStyle name="標準 62" xfId="120"/>
    <cellStyle name="標準 63" xfId="121"/>
    <cellStyle name="標準 64" xfId="122"/>
    <cellStyle name="標準 65" xfId="123"/>
    <cellStyle name="標準 66" xfId="124"/>
    <cellStyle name="標準 67" xfId="125"/>
    <cellStyle name="標準 68" xfId="126"/>
    <cellStyle name="標準 69" xfId="127"/>
    <cellStyle name="標準 7" xfId="128"/>
    <cellStyle name="標準 70" xfId="129"/>
    <cellStyle name="標準 71" xfId="130"/>
    <cellStyle name="標準 72" xfId="131"/>
    <cellStyle name="標準 73" xfId="132"/>
    <cellStyle name="標準 74" xfId="133"/>
    <cellStyle name="標準 75" xfId="134"/>
    <cellStyle name="標準 76" xfId="135"/>
    <cellStyle name="標準 77" xfId="136"/>
    <cellStyle name="標準 78" xfId="137"/>
    <cellStyle name="標準 79" xfId="138"/>
    <cellStyle name="標準 8" xfId="139"/>
    <cellStyle name="標準 80" xfId="140"/>
    <cellStyle name="標準 81" xfId="141"/>
    <cellStyle name="標準 82" xfId="142"/>
    <cellStyle name="標準 83" xfId="143"/>
    <cellStyle name="標準 84" xfId="144"/>
    <cellStyle name="標準 85" xfId="145"/>
    <cellStyle name="標準 86" xfId="146"/>
    <cellStyle name="標準 87" xfId="147"/>
    <cellStyle name="標準 88" xfId="148"/>
    <cellStyle name="標準 89" xfId="149"/>
    <cellStyle name="標準 9" xfId="150"/>
    <cellStyle name="標準 90" xfId="151"/>
    <cellStyle name="標準 91" xfId="152"/>
    <cellStyle name="標準 92" xfId="153"/>
    <cellStyle name="標準 93" xfId="154"/>
    <cellStyle name="標準 94" xfId="155"/>
    <cellStyle name="標準 95" xfId="156"/>
    <cellStyle name="標準 96" xfId="157"/>
    <cellStyle name="標準 97" xfId="158"/>
    <cellStyle name="標準 98" xfId="159"/>
    <cellStyle name="標準 99" xfId="160"/>
  </cellStyles>
  <dxfs count="0"/>
  <tableStyles count="0" defaultTableStyle="TableStyleMedium2" defaultPivotStyle="PivotStyleLight16"/>
  <colors>
    <mruColors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N28"/>
  <sheetViews>
    <sheetView showGridLines="0" tabSelected="1" workbookViewId="0">
      <selection activeCell="S23" sqref="S23"/>
    </sheetView>
  </sheetViews>
  <sheetFormatPr defaultRowHeight="13.5"/>
  <cols>
    <col min="1" max="1" width="2.625" customWidth="1"/>
    <col min="2" max="2" width="12.625" customWidth="1"/>
    <col min="3" max="5" width="9.625" customWidth="1"/>
    <col min="6" max="6" width="1.625" customWidth="1"/>
    <col min="7" max="10" width="9.625" customWidth="1"/>
    <col min="11" max="11" width="1.625" customWidth="1"/>
    <col min="12" max="14" width="9.625" customWidth="1"/>
  </cols>
  <sheetData>
    <row r="1" spans="2:14">
      <c r="J1" s="137"/>
      <c r="K1" s="137"/>
    </row>
    <row r="2" spans="2:14">
      <c r="B2" t="s">
        <v>617</v>
      </c>
    </row>
    <row r="4" spans="2:14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" t="s">
        <v>0</v>
      </c>
    </row>
    <row r="5" spans="2:14" ht="30" customHeight="1">
      <c r="B5" s="2"/>
      <c r="C5" s="269" t="s">
        <v>618</v>
      </c>
      <c r="D5" s="269"/>
      <c r="E5" s="269"/>
      <c r="F5" s="16"/>
      <c r="G5" s="269" t="s">
        <v>619</v>
      </c>
      <c r="H5" s="269"/>
      <c r="I5" s="269"/>
      <c r="J5" s="269"/>
      <c r="K5" s="16"/>
      <c r="L5" s="269" t="s">
        <v>620</v>
      </c>
      <c r="M5" s="269"/>
      <c r="N5" s="269"/>
    </row>
    <row r="6" spans="2:14" ht="30" customHeight="1">
      <c r="B6" s="216" t="s">
        <v>566</v>
      </c>
      <c r="C6" s="198" t="s">
        <v>1</v>
      </c>
      <c r="D6" s="198" t="s">
        <v>567</v>
      </c>
      <c r="E6" s="198" t="s">
        <v>568</v>
      </c>
      <c r="F6" s="116"/>
      <c r="G6" s="198"/>
      <c r="H6" s="198"/>
      <c r="I6" s="198"/>
      <c r="J6" s="198"/>
      <c r="K6" s="116"/>
      <c r="L6" s="198"/>
      <c r="M6" s="198"/>
      <c r="N6" s="198"/>
    </row>
    <row r="7" spans="2:14" ht="15.95" customHeight="1">
      <c r="B7" s="216" t="s">
        <v>569</v>
      </c>
      <c r="C7" s="116"/>
      <c r="D7" s="116"/>
      <c r="E7" s="116"/>
      <c r="F7" s="116"/>
      <c r="G7" s="265" t="s">
        <v>570</v>
      </c>
      <c r="H7" s="265"/>
      <c r="I7" s="265"/>
      <c r="J7" s="265"/>
      <c r="K7" s="116"/>
      <c r="L7" s="265" t="s">
        <v>570</v>
      </c>
      <c r="M7" s="265"/>
      <c r="N7" s="265"/>
    </row>
    <row r="8" spans="2:14" ht="44.1" customHeight="1">
      <c r="B8" s="28" t="s">
        <v>571</v>
      </c>
      <c r="C8" s="196"/>
      <c r="D8" s="196"/>
      <c r="E8" s="196"/>
      <c r="F8" s="116"/>
      <c r="G8" s="196"/>
      <c r="H8" s="196"/>
      <c r="I8" s="196"/>
      <c r="J8" s="196"/>
      <c r="K8" s="116"/>
      <c r="L8" s="195" t="s">
        <v>572</v>
      </c>
      <c r="M8" s="195" t="s">
        <v>573</v>
      </c>
      <c r="N8" s="195" t="s">
        <v>574</v>
      </c>
    </row>
    <row r="9" spans="2:14" ht="15.95" customHeight="1">
      <c r="B9" s="194" t="s">
        <v>575</v>
      </c>
      <c r="C9" s="197" t="s">
        <v>3</v>
      </c>
      <c r="D9" s="197" t="s">
        <v>3</v>
      </c>
      <c r="E9" s="197" t="s">
        <v>3</v>
      </c>
      <c r="F9" s="196"/>
      <c r="G9" s="197" t="s">
        <v>1</v>
      </c>
      <c r="H9" s="197" t="s">
        <v>3</v>
      </c>
      <c r="I9" s="197" t="s">
        <v>4</v>
      </c>
      <c r="J9" s="197" t="s">
        <v>568</v>
      </c>
      <c r="K9" s="196"/>
      <c r="L9" s="197" t="s">
        <v>1</v>
      </c>
      <c r="M9" s="197" t="s">
        <v>1</v>
      </c>
      <c r="N9" s="197" t="s">
        <v>1</v>
      </c>
    </row>
    <row r="10" spans="2:14" ht="15.95" customHeight="1">
      <c r="B10" s="14"/>
      <c r="C10" s="196" t="s">
        <v>576</v>
      </c>
      <c r="D10" s="196" t="s">
        <v>577</v>
      </c>
      <c r="E10" s="196" t="s">
        <v>578</v>
      </c>
      <c r="F10" s="196"/>
      <c r="G10" s="196" t="s">
        <v>579</v>
      </c>
      <c r="H10" s="196" t="s">
        <v>580</v>
      </c>
      <c r="I10" s="196" t="s">
        <v>581</v>
      </c>
      <c r="J10" s="196" t="s">
        <v>582</v>
      </c>
      <c r="K10" s="196"/>
      <c r="L10" s="196"/>
      <c r="M10" s="196"/>
      <c r="N10" s="196"/>
    </row>
    <row r="11" spans="2:14" ht="15.95" customHeight="1">
      <c r="B11" s="8" t="s">
        <v>583</v>
      </c>
      <c r="C11" s="9">
        <v>165498</v>
      </c>
      <c r="D11" s="9">
        <v>113992</v>
      </c>
      <c r="E11" s="9">
        <v>51506</v>
      </c>
      <c r="F11" s="9"/>
      <c r="G11" s="9">
        <v>146321</v>
      </c>
      <c r="H11" s="9">
        <v>113454</v>
      </c>
      <c r="I11" s="9">
        <v>20212</v>
      </c>
      <c r="J11" s="9">
        <v>12655</v>
      </c>
      <c r="K11" s="9"/>
      <c r="L11" s="9">
        <v>75363</v>
      </c>
      <c r="M11" s="9">
        <v>62220</v>
      </c>
      <c r="N11" s="9">
        <v>8738</v>
      </c>
    </row>
    <row r="12" spans="2:14" ht="15.95" customHeight="1">
      <c r="B12" s="8" t="s">
        <v>584</v>
      </c>
      <c r="C12" s="9">
        <v>139862</v>
      </c>
      <c r="D12" s="9">
        <v>96381</v>
      </c>
      <c r="E12" s="9">
        <v>43481</v>
      </c>
      <c r="F12" s="9"/>
      <c r="G12" s="9">
        <v>126343</v>
      </c>
      <c r="H12" s="9">
        <v>94358</v>
      </c>
      <c r="I12" s="9">
        <v>22563</v>
      </c>
      <c r="J12" s="9">
        <v>9422</v>
      </c>
      <c r="K12" s="9"/>
      <c r="L12" s="9">
        <v>74259</v>
      </c>
      <c r="M12" s="9">
        <v>46113</v>
      </c>
      <c r="N12" s="9">
        <v>5971</v>
      </c>
    </row>
    <row r="13" spans="2:14" ht="15.95" customHeight="1">
      <c r="B13" s="8" t="s">
        <v>585</v>
      </c>
      <c r="C13" s="9">
        <v>107500</v>
      </c>
      <c r="D13" s="9">
        <v>73337</v>
      </c>
      <c r="E13" s="9">
        <v>34163</v>
      </c>
      <c r="F13" s="9"/>
      <c r="G13" s="9">
        <v>100497</v>
      </c>
      <c r="H13" s="9">
        <v>73469</v>
      </c>
      <c r="I13" s="9">
        <v>20171</v>
      </c>
      <c r="J13" s="9">
        <v>6857</v>
      </c>
      <c r="K13" s="9"/>
      <c r="L13" s="9">
        <v>58423</v>
      </c>
      <c r="M13" s="9">
        <v>36486</v>
      </c>
      <c r="N13" s="9">
        <v>5588</v>
      </c>
    </row>
    <row r="14" spans="2:14" ht="15.95" customHeight="1">
      <c r="B14" s="8" t="s">
        <v>586</v>
      </c>
      <c r="C14" s="9">
        <v>85824</v>
      </c>
      <c r="D14" s="9">
        <v>58754</v>
      </c>
      <c r="E14" s="9">
        <v>27070</v>
      </c>
      <c r="F14" s="9"/>
      <c r="G14" s="9">
        <v>81564</v>
      </c>
      <c r="H14" s="9">
        <v>58192</v>
      </c>
      <c r="I14" s="9">
        <v>17665</v>
      </c>
      <c r="J14" s="9">
        <v>5707</v>
      </c>
      <c r="K14" s="9"/>
      <c r="L14" s="9">
        <v>48956</v>
      </c>
      <c r="M14" s="9">
        <v>27428</v>
      </c>
      <c r="N14" s="9">
        <v>5180</v>
      </c>
    </row>
    <row r="15" spans="2:14" ht="15.95" customHeight="1">
      <c r="B15" s="8" t="s">
        <v>587</v>
      </c>
      <c r="C15" s="9">
        <v>67153</v>
      </c>
      <c r="D15" s="9">
        <v>46868</v>
      </c>
      <c r="E15" s="9">
        <v>20285</v>
      </c>
      <c r="F15" s="9"/>
      <c r="G15" s="9">
        <v>67558</v>
      </c>
      <c r="H15" s="9">
        <v>45055</v>
      </c>
      <c r="I15" s="9">
        <v>17996</v>
      </c>
      <c r="J15" s="9">
        <v>4507</v>
      </c>
      <c r="K15" s="9"/>
      <c r="L15" s="9">
        <v>41915</v>
      </c>
      <c r="M15" s="9">
        <v>20614</v>
      </c>
      <c r="N15" s="9">
        <v>5029</v>
      </c>
    </row>
    <row r="16" spans="2:14" ht="15.95" customHeight="1">
      <c r="B16" s="8" t="s">
        <v>588</v>
      </c>
      <c r="C16" s="9">
        <v>46618</v>
      </c>
      <c r="D16" s="9">
        <v>33237</v>
      </c>
      <c r="E16" s="9">
        <v>13381</v>
      </c>
      <c r="F16" s="9"/>
      <c r="G16" s="9">
        <v>52173</v>
      </c>
      <c r="H16" s="9">
        <v>33858</v>
      </c>
      <c r="I16" s="9">
        <v>14745</v>
      </c>
      <c r="J16" s="9">
        <v>3570</v>
      </c>
      <c r="K16" s="9"/>
      <c r="L16" s="9">
        <v>28999</v>
      </c>
      <c r="M16" s="9">
        <v>18669</v>
      </c>
      <c r="N16" s="9">
        <v>4505</v>
      </c>
    </row>
    <row r="17" spans="2:14" ht="15.95" customHeight="1">
      <c r="B17" s="8" t="s">
        <v>589</v>
      </c>
      <c r="C17" s="9">
        <v>68553</v>
      </c>
      <c r="D17" s="9">
        <v>47529</v>
      </c>
      <c r="E17" s="9">
        <v>21024</v>
      </c>
      <c r="F17" s="9"/>
      <c r="G17" s="9">
        <v>51200</v>
      </c>
      <c r="H17" s="9">
        <v>47760</v>
      </c>
      <c r="I17" s="9">
        <v>260</v>
      </c>
      <c r="J17" s="9">
        <v>3180</v>
      </c>
      <c r="K17" s="9"/>
      <c r="L17" s="9">
        <v>27410</v>
      </c>
      <c r="M17" s="9">
        <v>18860</v>
      </c>
      <c r="N17" s="9">
        <v>4930</v>
      </c>
    </row>
    <row r="18" spans="2:14" ht="15.95" customHeight="1">
      <c r="B18" s="194" t="s">
        <v>590</v>
      </c>
      <c r="C18" s="10">
        <v>63663</v>
      </c>
      <c r="D18" s="10">
        <v>40977</v>
      </c>
      <c r="E18" s="10">
        <v>22686</v>
      </c>
      <c r="F18" s="10"/>
      <c r="G18" s="10">
        <v>45440</v>
      </c>
      <c r="H18" s="10">
        <v>42190</v>
      </c>
      <c r="I18" s="10">
        <v>140</v>
      </c>
      <c r="J18" s="10">
        <v>3100</v>
      </c>
      <c r="K18" s="10"/>
      <c r="L18" s="10">
        <v>19400</v>
      </c>
      <c r="M18" s="10">
        <v>20910</v>
      </c>
      <c r="N18" s="10">
        <v>5130</v>
      </c>
    </row>
    <row r="20" spans="2:14" ht="15.95" customHeight="1">
      <c r="B20" t="s">
        <v>591</v>
      </c>
    </row>
    <row r="21" spans="2:14" ht="15.95" customHeight="1">
      <c r="B21" s="217"/>
      <c r="C21" s="266" t="s">
        <v>592</v>
      </c>
      <c r="D21" s="265"/>
      <c r="E21" s="267"/>
      <c r="G21" s="268" t="s">
        <v>593</v>
      </c>
      <c r="H21" s="268"/>
    </row>
    <row r="22" spans="2:14" ht="27" customHeight="1">
      <c r="B22" s="218" t="s">
        <v>575</v>
      </c>
      <c r="C22" s="219" t="s">
        <v>1</v>
      </c>
      <c r="D22" s="220" t="s">
        <v>567</v>
      </c>
      <c r="E22" s="219" t="s">
        <v>568</v>
      </c>
      <c r="F22" s="16"/>
      <c r="G22" s="221" t="s">
        <v>570</v>
      </c>
      <c r="H22" s="219" t="s">
        <v>568</v>
      </c>
    </row>
    <row r="23" spans="2:14" ht="15.95" customHeight="1">
      <c r="B23" s="222" t="s">
        <v>594</v>
      </c>
      <c r="C23" s="219"/>
      <c r="D23" s="220"/>
      <c r="E23" s="219"/>
      <c r="F23" s="16"/>
      <c r="G23" s="221" t="s">
        <v>595</v>
      </c>
      <c r="H23" s="219"/>
    </row>
    <row r="24" spans="2:14" ht="15.95" customHeight="1">
      <c r="B24" s="223" t="s">
        <v>596</v>
      </c>
      <c r="C24" s="224" t="s">
        <v>597</v>
      </c>
      <c r="D24" s="225" t="s">
        <v>598</v>
      </c>
      <c r="E24" s="225" t="s">
        <v>599</v>
      </c>
      <c r="G24" s="225" t="s">
        <v>600</v>
      </c>
      <c r="H24" s="225"/>
    </row>
    <row r="25" spans="2:14" ht="15.95" customHeight="1">
      <c r="B25" s="226" t="s">
        <v>601</v>
      </c>
      <c r="C25" s="227"/>
      <c r="D25" s="228"/>
      <c r="E25" s="228"/>
      <c r="F25" s="16"/>
      <c r="G25" s="228" t="s">
        <v>602</v>
      </c>
      <c r="H25" s="228"/>
      <c r="K25" s="137"/>
    </row>
    <row r="26" spans="2:14" ht="15.95" customHeight="1">
      <c r="B26" s="229" t="s">
        <v>603</v>
      </c>
      <c r="C26" s="230"/>
      <c r="D26" s="231"/>
      <c r="E26" s="231"/>
      <c r="G26" s="231" t="s">
        <v>604</v>
      </c>
      <c r="H26" s="231"/>
      <c r="K26" s="137"/>
    </row>
    <row r="28" spans="2:14">
      <c r="B28" t="s">
        <v>605</v>
      </c>
    </row>
  </sheetData>
  <mergeCells count="7">
    <mergeCell ref="G7:J7"/>
    <mergeCell ref="L7:N7"/>
    <mergeCell ref="C21:E21"/>
    <mergeCell ref="G21:H21"/>
    <mergeCell ref="C5:E5"/>
    <mergeCell ref="G5:J5"/>
    <mergeCell ref="L5:N5"/>
  </mergeCells>
  <phoneticPr fontId="4"/>
  <pageMargins left="0.7" right="0.7" top="0.75" bottom="0.75" header="0.3" footer="0.3"/>
  <pageSetup paperSize="9" scale="7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AG44"/>
  <sheetViews>
    <sheetView showGridLines="0" workbookViewId="0">
      <selection activeCell="W31" sqref="W31"/>
    </sheetView>
  </sheetViews>
  <sheetFormatPr defaultRowHeight="13.5"/>
  <cols>
    <col min="1" max="1" width="2.625" customWidth="1"/>
    <col min="2" max="2" width="4.625" style="8" customWidth="1"/>
    <col min="3" max="3" width="26.625" customWidth="1"/>
    <col min="4" max="4" width="1.625" customWidth="1"/>
    <col min="5" max="5" width="8.625" customWidth="1"/>
    <col min="6" max="9" width="7.625" customWidth="1"/>
    <col min="10" max="12" width="8.125" customWidth="1"/>
    <col min="13" max="26" width="7.625" customWidth="1"/>
    <col min="27" max="27" width="8.625" customWidth="1"/>
    <col min="28" max="28" width="7.625" customWidth="1"/>
  </cols>
  <sheetData>
    <row r="1" spans="1:27">
      <c r="A1" s="1"/>
      <c r="B1" s="240"/>
      <c r="C1" s="1"/>
      <c r="D1" s="1"/>
    </row>
    <row r="2" spans="1:27">
      <c r="C2" s="248" t="s">
        <v>653</v>
      </c>
      <c r="D2" s="249"/>
      <c r="E2" s="137"/>
    </row>
    <row r="3" spans="1:27"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7" ht="15.95" customHeight="1">
      <c r="C4" s="121" t="s">
        <v>371</v>
      </c>
      <c r="D4" s="12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7" ht="15.95" customHeight="1">
      <c r="C5" s="29"/>
      <c r="D5" s="29"/>
      <c r="E5" s="233" t="s">
        <v>372</v>
      </c>
      <c r="F5" s="233" t="s">
        <v>373</v>
      </c>
      <c r="G5" s="233">
        <v>2</v>
      </c>
      <c r="H5" s="233">
        <v>3</v>
      </c>
      <c r="I5" s="233">
        <v>4</v>
      </c>
      <c r="J5" s="233">
        <v>5</v>
      </c>
      <c r="K5" s="233">
        <v>6</v>
      </c>
      <c r="L5" s="233">
        <v>7</v>
      </c>
      <c r="M5" s="233">
        <v>8</v>
      </c>
      <c r="N5" s="233">
        <v>9</v>
      </c>
      <c r="O5" s="233">
        <v>10</v>
      </c>
      <c r="P5" s="233">
        <v>11</v>
      </c>
      <c r="Q5" s="233">
        <v>12</v>
      </c>
      <c r="R5" s="233">
        <v>13</v>
      </c>
      <c r="S5" s="233">
        <v>14</v>
      </c>
      <c r="T5" s="233">
        <v>15</v>
      </c>
      <c r="U5" s="233">
        <v>16</v>
      </c>
      <c r="V5" s="233">
        <v>17</v>
      </c>
      <c r="W5" s="233">
        <v>18</v>
      </c>
      <c r="X5" s="233" t="s">
        <v>374</v>
      </c>
      <c r="Y5" s="122" t="s">
        <v>375</v>
      </c>
      <c r="Z5" s="232"/>
      <c r="AA5" s="232" t="s">
        <v>159</v>
      </c>
    </row>
    <row r="6" spans="1:27" ht="15.95" customHeight="1">
      <c r="B6" s="106" t="s">
        <v>622</v>
      </c>
      <c r="C6" t="s">
        <v>376</v>
      </c>
      <c r="E6" s="9">
        <f>SUM(F6:Y6)</f>
        <v>10410.829762098903</v>
      </c>
      <c r="F6" s="9">
        <v>152.846</v>
      </c>
      <c r="G6" s="9">
        <v>155.81800000000001</v>
      </c>
      <c r="H6" s="9">
        <v>187.87464800000004</v>
      </c>
      <c r="I6" s="9">
        <v>277.43763200000001</v>
      </c>
      <c r="J6" s="9">
        <v>444.72226840000002</v>
      </c>
      <c r="K6" s="9">
        <v>696.77120239999999</v>
      </c>
      <c r="L6" s="9">
        <v>965.72538600000007</v>
      </c>
      <c r="M6" s="9">
        <v>1302.9724487999997</v>
      </c>
      <c r="N6" s="9">
        <v>1598.36897</v>
      </c>
      <c r="O6" s="9">
        <v>1576.6849216000003</v>
      </c>
      <c r="P6" s="9">
        <v>1258.2023972</v>
      </c>
      <c r="Q6" s="9">
        <v>689.81858360000001</v>
      </c>
      <c r="R6" s="9">
        <v>285.56677159999998</v>
      </c>
      <c r="S6" s="9">
        <v>183.98346280000001</v>
      </c>
      <c r="T6" s="9">
        <v>154.97040799999999</v>
      </c>
      <c r="U6" s="9">
        <v>125.67199479999999</v>
      </c>
      <c r="V6" s="9">
        <v>98.6892852</v>
      </c>
      <c r="W6" s="9">
        <v>77.197445698903863</v>
      </c>
      <c r="X6" s="9">
        <v>177.50793600000003</v>
      </c>
      <c r="Y6" s="9"/>
      <c r="AA6" t="s">
        <v>377</v>
      </c>
    </row>
    <row r="7" spans="1:27" ht="15.95" customHeight="1">
      <c r="B7" s="106" t="s">
        <v>623</v>
      </c>
      <c r="C7" s="2" t="s">
        <v>378</v>
      </c>
      <c r="D7" s="2"/>
      <c r="E7" s="10"/>
      <c r="F7" s="10">
        <v>2.5420858852874315</v>
      </c>
      <c r="G7" s="10">
        <v>18.408690387273946</v>
      </c>
      <c r="H7" s="10">
        <v>52.592773167363113</v>
      </c>
      <c r="I7" s="10">
        <v>93.436855589869069</v>
      </c>
      <c r="J7" s="10">
        <v>134.29532281830544</v>
      </c>
      <c r="K7" s="10">
        <v>176.52869974681835</v>
      </c>
      <c r="L7" s="10">
        <v>219.64874748807034</v>
      </c>
      <c r="M7" s="10">
        <v>259.91587436268173</v>
      </c>
      <c r="N7" s="10">
        <v>291.19423330043867</v>
      </c>
      <c r="O7" s="10">
        <v>319.58589561044772</v>
      </c>
      <c r="P7" s="10">
        <v>346.29869031900688</v>
      </c>
      <c r="Q7" s="10">
        <v>373.31634355617274</v>
      </c>
      <c r="R7" s="10">
        <v>400.34392466423105</v>
      </c>
      <c r="S7" s="10">
        <v>417.82582042005248</v>
      </c>
      <c r="T7" s="10">
        <v>417.82582042005248</v>
      </c>
      <c r="U7" s="10">
        <v>417.82582042005248</v>
      </c>
      <c r="V7" s="10">
        <v>419.10403496431445</v>
      </c>
      <c r="W7" s="10">
        <v>419.36555499930108</v>
      </c>
      <c r="X7" s="10">
        <v>419.36555499930108</v>
      </c>
      <c r="Y7" s="123">
        <v>419.36555499930108</v>
      </c>
      <c r="Z7" s="2"/>
      <c r="AA7" s="2" t="s">
        <v>379</v>
      </c>
    </row>
    <row r="8" spans="1:27" ht="15.95" customHeight="1">
      <c r="B8" s="106" t="s">
        <v>624</v>
      </c>
      <c r="C8" t="s">
        <v>380</v>
      </c>
      <c r="F8" s="124"/>
      <c r="G8" s="124"/>
      <c r="H8" s="124"/>
      <c r="I8" s="124"/>
      <c r="J8" s="124"/>
      <c r="K8" s="124"/>
      <c r="L8" s="124"/>
      <c r="M8" s="124"/>
      <c r="N8" s="124"/>
      <c r="O8" s="125">
        <v>5.0000000000000001E-3</v>
      </c>
      <c r="P8" s="125">
        <v>5.0000000000000001E-3</v>
      </c>
      <c r="Q8" s="125">
        <v>6.6E-3</v>
      </c>
      <c r="R8" s="125">
        <v>8.2000000000000007E-3</v>
      </c>
      <c r="S8" s="125">
        <v>8.2000000000000007E-3</v>
      </c>
      <c r="T8" s="125">
        <v>8.2000000000000007E-3</v>
      </c>
      <c r="U8" s="125">
        <v>8.2000000000000007E-3</v>
      </c>
      <c r="V8" s="125">
        <v>8.2000000000000007E-3</v>
      </c>
      <c r="W8" s="125">
        <v>8.2000000000000007E-3</v>
      </c>
      <c r="X8" s="125">
        <v>8.2000000000000007E-3</v>
      </c>
      <c r="Y8" s="125">
        <v>8.2000000000000007E-3</v>
      </c>
      <c r="AA8" t="s">
        <v>381</v>
      </c>
    </row>
    <row r="9" spans="1:27" ht="15.95" customHeight="1">
      <c r="B9" s="106" t="s">
        <v>625</v>
      </c>
      <c r="C9" t="s">
        <v>382</v>
      </c>
      <c r="F9" s="124"/>
      <c r="G9" s="124"/>
      <c r="H9" s="124"/>
      <c r="I9" s="124"/>
      <c r="J9" s="125">
        <v>0.10940000000000001</v>
      </c>
      <c r="K9" s="125">
        <v>0.10940000000000001</v>
      </c>
      <c r="L9" s="125">
        <v>0.10940000000000001</v>
      </c>
      <c r="M9" s="125">
        <v>3.2800000000000003E-2</v>
      </c>
      <c r="N9" s="125">
        <v>3.2800000000000003E-2</v>
      </c>
      <c r="O9" s="125">
        <v>3.2800000000000003E-2</v>
      </c>
      <c r="P9" s="125"/>
      <c r="Q9" s="125"/>
      <c r="R9" s="124"/>
      <c r="S9" s="124"/>
      <c r="T9" s="124"/>
      <c r="U9" s="124"/>
      <c r="V9" s="124"/>
      <c r="W9" s="124"/>
      <c r="X9" s="124"/>
      <c r="Y9" s="124"/>
      <c r="AA9" s="8" t="s">
        <v>383</v>
      </c>
    </row>
    <row r="10" spans="1:27" ht="15.95" customHeight="1">
      <c r="B10" s="106" t="s">
        <v>626</v>
      </c>
      <c r="C10" s="2" t="s">
        <v>384</v>
      </c>
      <c r="D10" s="2"/>
      <c r="E10" s="2"/>
      <c r="F10" s="126"/>
      <c r="G10" s="126"/>
      <c r="H10" s="126"/>
      <c r="I10" s="126"/>
      <c r="J10" s="127"/>
      <c r="K10" s="127"/>
      <c r="L10" s="127"/>
      <c r="M10" s="127">
        <v>3.4999999999999996E-2</v>
      </c>
      <c r="N10" s="127">
        <v>3.4999999999999996E-2</v>
      </c>
      <c r="O10" s="127">
        <v>3.4999999999999996E-2</v>
      </c>
      <c r="P10" s="127">
        <v>3.4999999999999996E-2</v>
      </c>
      <c r="Q10" s="127">
        <v>3.4999999999999996E-2</v>
      </c>
      <c r="R10" s="126"/>
      <c r="S10" s="126"/>
      <c r="T10" s="126"/>
      <c r="U10" s="126"/>
      <c r="V10" s="126"/>
      <c r="W10" s="126"/>
      <c r="X10" s="126"/>
      <c r="Y10" s="126"/>
      <c r="Z10" s="2"/>
      <c r="AA10" s="233" t="s">
        <v>383</v>
      </c>
    </row>
    <row r="11" spans="1:27" ht="15.95" customHeight="1">
      <c r="B11" s="106" t="s">
        <v>627</v>
      </c>
      <c r="C11" t="s">
        <v>385</v>
      </c>
      <c r="E11" s="49">
        <f>SUM(F11:Y11)</f>
        <v>38.885333558651013</v>
      </c>
      <c r="F11" s="49"/>
      <c r="G11" s="49"/>
      <c r="H11" s="49"/>
      <c r="I11" s="49"/>
      <c r="J11" s="49"/>
      <c r="K11" s="49"/>
      <c r="L11" s="49"/>
      <c r="M11" s="49"/>
      <c r="N11" s="49"/>
      <c r="O11" s="49">
        <f>N6*O8</f>
        <v>7.9918448500000006</v>
      </c>
      <c r="P11" s="49">
        <f t="shared" ref="P11:Y11" si="0">O6*P8</f>
        <v>7.8834246080000012</v>
      </c>
      <c r="Q11" s="49">
        <f t="shared" si="0"/>
        <v>8.3041358215199992</v>
      </c>
      <c r="R11" s="49">
        <f t="shared" si="0"/>
        <v>5.6565123855200001</v>
      </c>
      <c r="S11" s="49">
        <f t="shared" si="0"/>
        <v>2.3416475271200001</v>
      </c>
      <c r="T11" s="49">
        <f t="shared" si="0"/>
        <v>1.5086643949600003</v>
      </c>
      <c r="U11" s="49">
        <f t="shared" si="0"/>
        <v>1.2707573456000001</v>
      </c>
      <c r="V11" s="49">
        <f t="shared" si="0"/>
        <v>1.0305103573600001</v>
      </c>
      <c r="W11" s="49">
        <f t="shared" si="0"/>
        <v>0.80925213864000012</v>
      </c>
      <c r="X11" s="49">
        <f t="shared" si="0"/>
        <v>0.63301905473101172</v>
      </c>
      <c r="Y11" s="49">
        <f t="shared" si="0"/>
        <v>1.4555650752000004</v>
      </c>
      <c r="AA11" t="s">
        <v>386</v>
      </c>
    </row>
    <row r="12" spans="1:27" ht="15.95" customHeight="1">
      <c r="B12" s="106" t="s">
        <v>628</v>
      </c>
      <c r="C12" t="s">
        <v>387</v>
      </c>
      <c r="E12" s="49">
        <f>SUM(F12:Y12)</f>
        <v>282.07085384376001</v>
      </c>
      <c r="F12" s="49"/>
      <c r="G12" s="49"/>
      <c r="H12" s="49"/>
      <c r="I12" s="49"/>
      <c r="J12" s="49">
        <f t="shared" ref="J12:O12" si="1">I6*J9</f>
        <v>30.351676940800004</v>
      </c>
      <c r="K12" s="49">
        <f t="shared" si="1"/>
        <v>48.652616162960008</v>
      </c>
      <c r="L12" s="49">
        <f t="shared" si="1"/>
        <v>76.226769542560007</v>
      </c>
      <c r="M12" s="49">
        <f t="shared" si="1"/>
        <v>31.675792660800006</v>
      </c>
      <c r="N12" s="49">
        <f t="shared" si="1"/>
        <v>42.737496320639991</v>
      </c>
      <c r="O12" s="49">
        <f t="shared" si="1"/>
        <v>52.426502216000003</v>
      </c>
      <c r="P12" s="49"/>
      <c r="Q12" s="49"/>
      <c r="R12" s="49"/>
      <c r="S12" s="49"/>
      <c r="T12" s="49"/>
      <c r="U12" s="49"/>
      <c r="V12" s="49"/>
      <c r="W12" s="49"/>
      <c r="X12" s="49"/>
      <c r="Y12" s="49"/>
      <c r="AA12" s="8" t="s">
        <v>388</v>
      </c>
    </row>
    <row r="13" spans="1:27" ht="15.95" customHeight="1">
      <c r="B13" s="106" t="s">
        <v>629</v>
      </c>
      <c r="C13" s="2" t="s">
        <v>389</v>
      </c>
      <c r="D13" s="2"/>
      <c r="E13" s="50">
        <f>SUM(F13:Y13)</f>
        <v>234.56839432599998</v>
      </c>
      <c r="F13" s="50"/>
      <c r="G13" s="50"/>
      <c r="H13" s="50"/>
      <c r="I13" s="50"/>
      <c r="J13" s="50"/>
      <c r="K13" s="50"/>
      <c r="L13" s="50"/>
      <c r="M13" s="50">
        <f>L6*M10</f>
        <v>33.800388509999998</v>
      </c>
      <c r="N13" s="50">
        <f>M6*N10</f>
        <v>45.604035707999984</v>
      </c>
      <c r="O13" s="50">
        <f>N6*O10</f>
        <v>55.942913949999991</v>
      </c>
      <c r="P13" s="50">
        <f>O6*P10</f>
        <v>55.183972256000004</v>
      </c>
      <c r="Q13" s="50">
        <f>P6*Q10</f>
        <v>44.037083901999992</v>
      </c>
      <c r="R13" s="50"/>
      <c r="S13" s="50"/>
      <c r="T13" s="50"/>
      <c r="U13" s="50"/>
      <c r="V13" s="50"/>
      <c r="W13" s="50"/>
      <c r="X13" s="50"/>
      <c r="Y13" s="50"/>
      <c r="Z13" s="2"/>
      <c r="AA13" s="233" t="s">
        <v>383</v>
      </c>
    </row>
    <row r="14" spans="1:27" ht="15.95" customHeight="1">
      <c r="B14" s="106" t="s">
        <v>630</v>
      </c>
      <c r="C14" t="s">
        <v>390</v>
      </c>
      <c r="E14" s="124">
        <v>0.18099999999999999</v>
      </c>
      <c r="G14" t="s">
        <v>391</v>
      </c>
    </row>
    <row r="15" spans="1:27" ht="15.95" customHeight="1">
      <c r="B15" s="106" t="s">
        <v>631</v>
      </c>
      <c r="C15" s="2" t="s">
        <v>392</v>
      </c>
      <c r="D15" s="2"/>
      <c r="E15" s="126">
        <v>0.18099999999999999</v>
      </c>
      <c r="F15" s="2"/>
      <c r="G15" s="233" t="s">
        <v>393</v>
      </c>
      <c r="H15" s="2"/>
    </row>
    <row r="16" spans="1:27" ht="15.95" customHeight="1">
      <c r="B16" s="106" t="s">
        <v>632</v>
      </c>
      <c r="C16" t="s">
        <v>394</v>
      </c>
      <c r="E16" s="9">
        <v>13261.120077999998</v>
      </c>
      <c r="G16" t="s">
        <v>395</v>
      </c>
    </row>
    <row r="17" spans="2:33" ht="15.95" customHeight="1">
      <c r="B17" s="106" t="s">
        <v>633</v>
      </c>
      <c r="C17" s="2" t="s">
        <v>396</v>
      </c>
      <c r="D17" s="2"/>
      <c r="E17" s="127">
        <v>2.380019118738079E-3</v>
      </c>
      <c r="F17" s="2"/>
      <c r="G17" s="2" t="s">
        <v>397</v>
      </c>
      <c r="H17" s="2"/>
    </row>
    <row r="18" spans="2:33" ht="15.95" customHeight="1">
      <c r="C18" s="16"/>
      <c r="D18" s="16"/>
      <c r="E18" s="128"/>
    </row>
    <row r="19" spans="2:33" ht="15.95" customHeight="1">
      <c r="C19" s="121" t="s">
        <v>398</v>
      </c>
      <c r="D19" s="12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2:33" ht="15.95" customHeight="1">
      <c r="E20" s="265" t="s">
        <v>399</v>
      </c>
      <c r="F20" s="265"/>
      <c r="G20" s="265"/>
      <c r="H20" s="4"/>
      <c r="I20" s="265" t="s">
        <v>400</v>
      </c>
      <c r="J20" s="265"/>
      <c r="K20" s="265"/>
      <c r="L20" s="129"/>
      <c r="M20" s="265" t="s">
        <v>688</v>
      </c>
      <c r="N20" s="265"/>
      <c r="O20" s="265"/>
      <c r="P20" s="265"/>
      <c r="Q20" s="129"/>
      <c r="R20" s="265" t="s">
        <v>689</v>
      </c>
      <c r="S20" s="265"/>
      <c r="T20" s="265"/>
      <c r="U20" s="265"/>
      <c r="V20" s="265"/>
      <c r="W20" s="129"/>
      <c r="X20" s="265" t="s">
        <v>687</v>
      </c>
      <c r="Y20" s="265"/>
      <c r="Z20" s="265"/>
      <c r="AA20" s="265"/>
      <c r="AG20" s="52"/>
    </row>
    <row r="21" spans="2:33" ht="30" customHeight="1">
      <c r="C21" s="2"/>
      <c r="E21" s="236" t="s">
        <v>1</v>
      </c>
      <c r="F21" s="236" t="s">
        <v>316</v>
      </c>
      <c r="G21" s="236" t="s">
        <v>317</v>
      </c>
      <c r="H21" s="235"/>
      <c r="I21" s="237" t="s">
        <v>1</v>
      </c>
      <c r="J21" s="237" t="s">
        <v>401</v>
      </c>
      <c r="K21" s="237" t="s">
        <v>319</v>
      </c>
      <c r="L21" s="235"/>
      <c r="M21" s="237" t="s">
        <v>402</v>
      </c>
      <c r="N21" s="237" t="s">
        <v>403</v>
      </c>
      <c r="O21" s="237" t="s">
        <v>404</v>
      </c>
      <c r="P21" s="237" t="s">
        <v>405</v>
      </c>
      <c r="Q21" s="235"/>
      <c r="R21" s="237" t="s">
        <v>1</v>
      </c>
      <c r="S21" s="237" t="s">
        <v>402</v>
      </c>
      <c r="T21" s="237" t="s">
        <v>403</v>
      </c>
      <c r="U21" s="237" t="s">
        <v>404</v>
      </c>
      <c r="V21" s="237" t="s">
        <v>406</v>
      </c>
      <c r="W21" s="235"/>
      <c r="X21" s="237" t="s">
        <v>1</v>
      </c>
      <c r="Y21" s="237" t="s">
        <v>407</v>
      </c>
      <c r="Z21" s="237" t="s">
        <v>408</v>
      </c>
      <c r="AA21" s="237" t="s">
        <v>406</v>
      </c>
      <c r="AG21" s="52"/>
    </row>
    <row r="22" spans="2:33" ht="15.95" customHeight="1">
      <c r="B22" s="106" t="s">
        <v>634</v>
      </c>
      <c r="C22" t="s">
        <v>409</v>
      </c>
      <c r="E22" s="130">
        <f>SUM(F22:G22)</f>
        <v>70.382999999999981</v>
      </c>
      <c r="F22" s="49">
        <v>38.82128067847858</v>
      </c>
      <c r="G22" s="49">
        <v>31.561719321521402</v>
      </c>
      <c r="H22" s="49"/>
      <c r="I22" s="130">
        <f>SUM(J22:K22)</f>
        <v>516.4</v>
      </c>
      <c r="J22" s="49">
        <v>283.10042826204221</v>
      </c>
      <c r="K22" s="49">
        <v>233.29957173795773</v>
      </c>
      <c r="L22" s="9"/>
      <c r="M22" s="49">
        <v>360.87949402267412</v>
      </c>
      <c r="N22" s="49">
        <v>39.259429135909805</v>
      </c>
      <c r="O22" s="49">
        <v>55.872746024323042</v>
      </c>
      <c r="P22" s="49">
        <v>132</v>
      </c>
      <c r="Q22" s="9"/>
      <c r="R22" s="130">
        <f>SUM(S22:V22)</f>
        <v>42.325400000000002</v>
      </c>
      <c r="S22" s="49">
        <v>14.009804128561566</v>
      </c>
      <c r="T22" s="49">
        <v>11.114361201699364</v>
      </c>
      <c r="U22" s="49">
        <v>13.035087719298247</v>
      </c>
      <c r="V22" s="49">
        <v>4.1661469504408251</v>
      </c>
      <c r="W22" s="49"/>
      <c r="X22" s="130">
        <f>SUM(Y22:AA22)</f>
        <v>20.943200000000001</v>
      </c>
      <c r="Y22" s="49">
        <v>10.415811768374821</v>
      </c>
      <c r="Z22" s="49">
        <v>7.43</v>
      </c>
      <c r="AA22" s="49">
        <v>3.0973882316251777</v>
      </c>
    </row>
    <row r="23" spans="2:33" ht="15.95" customHeight="1">
      <c r="B23" s="106" t="s">
        <v>635</v>
      </c>
      <c r="C23" t="s">
        <v>410</v>
      </c>
      <c r="E23" s="130">
        <f>SUM(F23,G22)</f>
        <v>70.447052880172407</v>
      </c>
      <c r="F23" s="49">
        <f>E11</f>
        <v>38.885333558651013</v>
      </c>
      <c r="G23" s="49"/>
      <c r="H23" s="49"/>
      <c r="I23" s="130">
        <f>SUM(J23:K23)</f>
        <v>516.63924816975998</v>
      </c>
      <c r="J23" s="49">
        <f>E12</f>
        <v>282.07085384376001</v>
      </c>
      <c r="K23" s="49">
        <f>E13</f>
        <v>234.56839432599998</v>
      </c>
      <c r="L23" s="9"/>
      <c r="M23" s="49">
        <v>360.21245598188261</v>
      </c>
      <c r="N23" s="49">
        <v>39.463008838888669</v>
      </c>
      <c r="O23" s="49">
        <v>55.536924094489521</v>
      </c>
      <c r="P23" s="49"/>
      <c r="Q23" s="9"/>
      <c r="R23" s="130">
        <f>SUM(S23:U23,V22)</f>
        <v>42.331700162355752</v>
      </c>
      <c r="S23" s="49">
        <f>(SUMPRODUCT(G11:Y11,F7:X7)+SUMPRODUCT(G11:Y11,G7:Y7))/2/1000</f>
        <v>14.006981502836403</v>
      </c>
      <c r="T23" s="49">
        <f>(SUMPRODUCT(G12:Y12,F7:X7)+SUMPRODUCT(G12:Y12,G7:Y7))/2*E14/1000</f>
        <v>11.131364598429178</v>
      </c>
      <c r="U23" s="49">
        <f>(SUMPRODUCT(G13:Y13,F7:X7)+SUMPRODUCT(G13:Y13,G7:Y7))/2*E15/1000</f>
        <v>13.027207110649346</v>
      </c>
      <c r="V23" s="49"/>
      <c r="W23" s="49"/>
      <c r="X23" s="49">
        <f>SUM(Y23:AA23)</f>
        <v>20.936609527068189</v>
      </c>
      <c r="Y23" s="49">
        <f>S23*Y30</f>
        <v>10.413713242372882</v>
      </c>
      <c r="Z23" s="49">
        <f>U23*Z30</f>
        <v>7.4255080530701267</v>
      </c>
      <c r="AA23" s="49">
        <f>V22*AA30</f>
        <v>3.0973882316251773</v>
      </c>
    </row>
    <row r="24" spans="2:33" ht="15.95" customHeight="1">
      <c r="B24" s="106" t="s">
        <v>636</v>
      </c>
      <c r="C24" s="2" t="s">
        <v>411</v>
      </c>
      <c r="D24" s="2"/>
      <c r="E24" s="126">
        <f>E23/E22-1</f>
        <v>9.1006180714692242E-4</v>
      </c>
      <c r="F24" s="126">
        <f>F23/F22-1</f>
        <v>1.6499424813654073E-3</v>
      </c>
      <c r="G24" s="2"/>
      <c r="H24" s="2"/>
      <c r="I24" s="126">
        <f>I23/I22-1</f>
        <v>4.6330009635942027E-4</v>
      </c>
      <c r="J24" s="126">
        <f>J23/J22-1</f>
        <v>-3.6367815640646617E-3</v>
      </c>
      <c r="K24" s="126">
        <f>K23/K22-1</f>
        <v>5.4385980162336978E-3</v>
      </c>
      <c r="L24" s="2"/>
      <c r="M24" s="126">
        <f>M23/M22-1</f>
        <v>-1.8483678120807534E-3</v>
      </c>
      <c r="N24" s="126">
        <f>N23/N22-1</f>
        <v>5.1854982983605691E-3</v>
      </c>
      <c r="O24" s="126">
        <f>O23/O22-1</f>
        <v>-6.0104783410381835E-3</v>
      </c>
      <c r="P24" s="10"/>
      <c r="Q24" s="2"/>
      <c r="R24" s="126">
        <f>R23/R22-1</f>
        <v>1.4885062765501722E-4</v>
      </c>
      <c r="S24" s="126">
        <f>S23/S22-1</f>
        <v>-2.0147503128953304E-4</v>
      </c>
      <c r="T24" s="126">
        <f>T23/T22-1</f>
        <v>1.5298582096840985E-3</v>
      </c>
      <c r="U24" s="126">
        <f>U23/U22-1</f>
        <v>-6.0456890038673716E-4</v>
      </c>
      <c r="V24" s="2"/>
      <c r="W24" s="2"/>
      <c r="X24" s="126">
        <f>X23/X22-1</f>
        <v>-3.1468318746952217E-4</v>
      </c>
      <c r="Y24" s="126">
        <f>Y23/Y22-1</f>
        <v>-2.0147503128953304E-4</v>
      </c>
      <c r="Z24" s="126">
        <f>Z23/Z22-1</f>
        <v>-6.0456890038662614E-4</v>
      </c>
      <c r="AA24" s="126">
        <f>AA23/AA22-1</f>
        <v>0</v>
      </c>
    </row>
    <row r="25" spans="2:33" ht="15.95" customHeight="1">
      <c r="C25" s="86"/>
      <c r="D25" s="86"/>
      <c r="E25" s="86"/>
      <c r="F25" s="86"/>
      <c r="G25" s="86"/>
      <c r="H25" s="131"/>
      <c r="I25" s="131"/>
      <c r="J25" s="131"/>
    </row>
    <row r="26" spans="2:33" ht="15.95" customHeight="1">
      <c r="E26" s="290" t="s">
        <v>347</v>
      </c>
      <c r="F26" s="290"/>
      <c r="G26" s="290"/>
      <c r="H26" s="16"/>
      <c r="S26" s="114"/>
      <c r="V26" s="2" t="s">
        <v>412</v>
      </c>
      <c r="W26" s="2"/>
      <c r="X26" s="2"/>
      <c r="Y26" s="2"/>
      <c r="Z26" s="2"/>
      <c r="AA26" s="2"/>
    </row>
    <row r="27" spans="2:33" ht="15.95" customHeight="1">
      <c r="C27" s="2"/>
      <c r="E27" s="237" t="s">
        <v>1</v>
      </c>
      <c r="F27" s="237" t="s">
        <v>413</v>
      </c>
      <c r="G27" s="237" t="s">
        <v>352</v>
      </c>
      <c r="H27" s="132"/>
      <c r="V27" s="265" t="s">
        <v>348</v>
      </c>
      <c r="W27" s="265"/>
      <c r="Y27" s="265" t="s">
        <v>315</v>
      </c>
      <c r="Z27" s="265"/>
      <c r="AA27" s="265"/>
    </row>
    <row r="28" spans="2:33" ht="15.95" customHeight="1">
      <c r="B28" s="106" t="s">
        <v>637</v>
      </c>
      <c r="C28" t="s">
        <v>409</v>
      </c>
      <c r="E28" s="130">
        <f>SUM(F28:G28)</f>
        <v>25.023800000000001</v>
      </c>
      <c r="F28" s="49">
        <v>18.977399999999999</v>
      </c>
      <c r="G28" s="49">
        <v>6.0464000000000002</v>
      </c>
      <c r="H28" s="16"/>
      <c r="V28" s="239" t="s">
        <v>413</v>
      </c>
      <c r="W28" s="239" t="s">
        <v>352</v>
      </c>
      <c r="X28" s="8"/>
      <c r="Y28" s="8" t="s">
        <v>316</v>
      </c>
      <c r="Z28" s="8" t="s">
        <v>319</v>
      </c>
      <c r="AA28" s="8" t="s">
        <v>317</v>
      </c>
    </row>
    <row r="29" spans="2:33" ht="15.95" customHeight="1">
      <c r="B29" s="106" t="s">
        <v>638</v>
      </c>
      <c r="C29" t="s">
        <v>410</v>
      </c>
      <c r="E29" s="130">
        <f>SUM(F29,G28)</f>
        <v>25.055111618445864</v>
      </c>
      <c r="F29" s="49">
        <f>E11*V30</f>
        <v>19.008711618445862</v>
      </c>
      <c r="G29" s="49"/>
      <c r="H29" s="16"/>
      <c r="V29" s="236"/>
      <c r="W29" s="236"/>
      <c r="X29" s="8"/>
      <c r="Y29" s="233" t="s">
        <v>414</v>
      </c>
      <c r="Z29" s="233" t="s">
        <v>415</v>
      </c>
      <c r="AA29" s="233" t="s">
        <v>416</v>
      </c>
    </row>
    <row r="30" spans="2:33" ht="15.95" customHeight="1">
      <c r="B30" s="106" t="s">
        <v>639</v>
      </c>
      <c r="C30" s="2"/>
      <c r="D30" s="2"/>
      <c r="E30" s="126">
        <f>E29/E28-1</f>
        <v>1.2512735254381901E-3</v>
      </c>
      <c r="F30" s="126">
        <f>F29/F28-1</f>
        <v>1.6499424813654073E-3</v>
      </c>
      <c r="G30" s="2"/>
      <c r="H30" s="16"/>
      <c r="V30" s="109">
        <v>0.48884013273989008</v>
      </c>
      <c r="W30" s="109">
        <v>0.19157384736886188</v>
      </c>
      <c r="X30" s="2"/>
      <c r="Y30" s="109">
        <v>0.74346590950120928</v>
      </c>
      <c r="Z30" s="109">
        <v>0.56999999999999995</v>
      </c>
      <c r="AA30" s="109">
        <v>0.74346590950120928</v>
      </c>
    </row>
    <row r="32" spans="2:33" ht="15.95" customHeight="1">
      <c r="C32" t="s">
        <v>417</v>
      </c>
    </row>
    <row r="33" spans="3:3" ht="15.95" customHeight="1">
      <c r="C33" t="s">
        <v>418</v>
      </c>
    </row>
    <row r="34" spans="3:3" ht="15.95" customHeight="1">
      <c r="C34" t="s">
        <v>419</v>
      </c>
    </row>
    <row r="35" spans="3:3" ht="15.95" customHeight="1">
      <c r="C35" t="s">
        <v>420</v>
      </c>
    </row>
    <row r="36" spans="3:3" ht="15.95" customHeight="1">
      <c r="C36" t="s">
        <v>421</v>
      </c>
    </row>
    <row r="37" spans="3:3" ht="15.95" customHeight="1">
      <c r="C37" t="s">
        <v>422</v>
      </c>
    </row>
    <row r="38" spans="3:3" ht="15.95" customHeight="1">
      <c r="C38" t="s">
        <v>423</v>
      </c>
    </row>
    <row r="39" spans="3:3" ht="15.95" customHeight="1">
      <c r="C39" t="s">
        <v>424</v>
      </c>
    </row>
    <row r="40" spans="3:3" ht="15.95" customHeight="1">
      <c r="C40" t="s">
        <v>425</v>
      </c>
    </row>
    <row r="41" spans="3:3" ht="15.95" customHeight="1">
      <c r="C41" t="s">
        <v>426</v>
      </c>
    </row>
    <row r="42" spans="3:3" ht="15.95" customHeight="1">
      <c r="C42" t="s">
        <v>427</v>
      </c>
    </row>
    <row r="43" spans="3:3" ht="15.95" customHeight="1">
      <c r="C43" t="s">
        <v>428</v>
      </c>
    </row>
    <row r="44" spans="3:3">
      <c r="C44" t="s">
        <v>429</v>
      </c>
    </row>
  </sheetData>
  <mergeCells count="8">
    <mergeCell ref="V27:W27"/>
    <mergeCell ref="Y27:AA27"/>
    <mergeCell ref="E20:G20"/>
    <mergeCell ref="I20:K20"/>
    <mergeCell ref="M20:P20"/>
    <mergeCell ref="R20:V20"/>
    <mergeCell ref="X20:AA20"/>
    <mergeCell ref="E26:G26"/>
  </mergeCells>
  <phoneticPr fontId="4"/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B2:H11"/>
  <sheetViews>
    <sheetView showGridLines="0" zoomScaleNormal="100" workbookViewId="0">
      <selection activeCell="B11" sqref="B11:H11"/>
    </sheetView>
  </sheetViews>
  <sheetFormatPr defaultRowHeight="13.5"/>
  <cols>
    <col min="1" max="1" width="2.625" customWidth="1"/>
    <col min="2" max="2" width="5.625" customWidth="1"/>
    <col min="3" max="3" width="1.625" customWidth="1"/>
    <col min="4" max="4" width="4.625" customWidth="1"/>
    <col min="5" max="5" width="11.625" customWidth="1"/>
    <col min="6" max="6" width="1.625" customWidth="1"/>
    <col min="7" max="7" width="4.625" customWidth="1"/>
    <col min="8" max="8" width="11.625" customWidth="1"/>
  </cols>
  <sheetData>
    <row r="2" spans="2:8">
      <c r="B2" t="s">
        <v>565</v>
      </c>
    </row>
    <row r="4" spans="2:8" ht="20.100000000000001" customHeight="1">
      <c r="B4" s="2"/>
      <c r="C4" s="2"/>
      <c r="D4" s="2"/>
      <c r="E4" s="2"/>
      <c r="F4" s="2"/>
      <c r="G4" s="29"/>
      <c r="H4" s="3" t="s">
        <v>430</v>
      </c>
    </row>
    <row r="5" spans="2:8" ht="20.100000000000001" customHeight="1">
      <c r="B5" s="191" t="s">
        <v>182</v>
      </c>
      <c r="C5" s="190"/>
      <c r="D5" s="269" t="s">
        <v>431</v>
      </c>
      <c r="E5" s="269"/>
      <c r="F5" s="190"/>
      <c r="G5" s="269" t="s">
        <v>432</v>
      </c>
      <c r="H5" s="269"/>
    </row>
    <row r="6" spans="2:8" ht="74.099999999999994" customHeight="1">
      <c r="B6" s="116">
        <v>1</v>
      </c>
      <c r="C6" s="190"/>
      <c r="D6" s="199">
        <v>29</v>
      </c>
      <c r="E6" s="192" t="s">
        <v>433</v>
      </c>
      <c r="F6" s="190"/>
      <c r="G6" s="200">
        <v>12</v>
      </c>
      <c r="H6" s="192" t="s">
        <v>434</v>
      </c>
    </row>
    <row r="7" spans="2:8" ht="30" customHeight="1">
      <c r="B7" s="191"/>
      <c r="C7" s="190"/>
      <c r="D7" s="201">
        <v>38</v>
      </c>
      <c r="E7" s="7" t="s">
        <v>561</v>
      </c>
      <c r="F7" s="190"/>
      <c r="G7" s="202">
        <v>23</v>
      </c>
      <c r="H7" s="7" t="s">
        <v>562</v>
      </c>
    </row>
    <row r="8" spans="2:8" ht="20.100000000000001" customHeight="1">
      <c r="B8" s="193">
        <v>2</v>
      </c>
      <c r="C8" s="190"/>
      <c r="D8" s="203">
        <v>7</v>
      </c>
      <c r="E8" s="204" t="s">
        <v>435</v>
      </c>
      <c r="F8" s="190"/>
      <c r="G8" s="205">
        <v>7</v>
      </c>
      <c r="H8" s="204" t="s">
        <v>435</v>
      </c>
    </row>
    <row r="9" spans="2:8" ht="74.099999999999994" customHeight="1">
      <c r="B9" s="191" t="s">
        <v>563</v>
      </c>
      <c r="C9" s="191"/>
      <c r="D9" s="201">
        <v>6</v>
      </c>
      <c r="E9" s="7" t="s">
        <v>564</v>
      </c>
      <c r="F9" s="191"/>
      <c r="G9" s="206">
        <v>6</v>
      </c>
      <c r="H9" s="133" t="s">
        <v>436</v>
      </c>
    </row>
    <row r="11" spans="2:8" ht="60" customHeight="1">
      <c r="B11" s="291" t="s">
        <v>437</v>
      </c>
      <c r="C11" s="291"/>
      <c r="D11" s="291"/>
      <c r="E11" s="291"/>
      <c r="F11" s="291"/>
      <c r="G11" s="291"/>
      <c r="H11" s="291"/>
    </row>
  </sheetData>
  <mergeCells count="3">
    <mergeCell ref="D5:E5"/>
    <mergeCell ref="G5:H5"/>
    <mergeCell ref="B11:H11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&amp;C&amp;F &amp;A  &amp;P/&amp;N&amp;R&amp;D &amp;T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2:D35"/>
  <sheetViews>
    <sheetView showGridLines="0" workbookViewId="0">
      <selection activeCell="I24" sqref="I24"/>
    </sheetView>
  </sheetViews>
  <sheetFormatPr defaultRowHeight="13.5"/>
  <cols>
    <col min="1" max="1" width="2.625" customWidth="1"/>
    <col min="2" max="2" width="8.625" customWidth="1"/>
    <col min="3" max="4" width="10.625" customWidth="1"/>
  </cols>
  <sheetData>
    <row r="2" spans="2:4">
      <c r="B2" t="s">
        <v>453</v>
      </c>
    </row>
    <row r="4" spans="2:4" ht="20.100000000000001" customHeight="1">
      <c r="B4" s="2" t="s">
        <v>438</v>
      </c>
      <c r="C4" s="2"/>
      <c r="D4" s="3" t="s">
        <v>690</v>
      </c>
    </row>
    <row r="5" spans="2:4" ht="30" customHeight="1">
      <c r="B5" s="12" t="s">
        <v>2</v>
      </c>
      <c r="C5" s="13" t="s">
        <v>439</v>
      </c>
      <c r="D5" s="13" t="s">
        <v>440</v>
      </c>
    </row>
    <row r="6" spans="2:4">
      <c r="B6">
        <v>2000</v>
      </c>
      <c r="C6" s="134">
        <v>3.58</v>
      </c>
      <c r="D6" s="134">
        <v>2.25</v>
      </c>
    </row>
    <row r="7" spans="2:4">
      <c r="B7">
        <v>2001</v>
      </c>
      <c r="C7" s="134">
        <v>3.81</v>
      </c>
      <c r="D7" s="134">
        <v>2.5</v>
      </c>
    </row>
    <row r="8" spans="2:4">
      <c r="B8">
        <v>2002</v>
      </c>
      <c r="C8" s="134">
        <v>4.1399999999999997</v>
      </c>
      <c r="D8" s="134">
        <v>2.6</v>
      </c>
    </row>
    <row r="9" spans="2:4">
      <c r="B9">
        <v>2003</v>
      </c>
      <c r="C9" s="134">
        <v>4.1500000000000004</v>
      </c>
      <c r="D9" s="134">
        <v>2.44</v>
      </c>
    </row>
    <row r="10" spans="2:4">
      <c r="B10">
        <v>2004</v>
      </c>
      <c r="C10" s="134">
        <v>3.57</v>
      </c>
      <c r="D10" s="134">
        <v>2.13</v>
      </c>
    </row>
    <row r="11" spans="2:4">
      <c r="B11">
        <v>2005</v>
      </c>
      <c r="C11" s="134">
        <v>3.45</v>
      </c>
      <c r="D11" s="134">
        <v>2.5</v>
      </c>
    </row>
    <row r="12" spans="2:4">
      <c r="B12">
        <v>2006</v>
      </c>
      <c r="C12" s="134">
        <v>5</v>
      </c>
      <c r="D12" s="134">
        <v>3.13</v>
      </c>
    </row>
    <row r="13" spans="2:4">
      <c r="B13">
        <v>2007</v>
      </c>
      <c r="C13" s="134">
        <v>4.55</v>
      </c>
      <c r="D13" s="134">
        <v>3.03</v>
      </c>
    </row>
    <row r="14" spans="2:4">
      <c r="B14">
        <v>2008</v>
      </c>
      <c r="C14" s="134">
        <v>4</v>
      </c>
      <c r="D14" s="134">
        <v>3.45</v>
      </c>
    </row>
    <row r="15" spans="2:4">
      <c r="B15">
        <v>2009</v>
      </c>
      <c r="C15" s="134">
        <v>4.76</v>
      </c>
      <c r="D15" s="134">
        <v>3.45</v>
      </c>
    </row>
    <row r="16" spans="2:4">
      <c r="B16">
        <v>2010</v>
      </c>
      <c r="C16" s="134">
        <v>5</v>
      </c>
      <c r="D16" s="134">
        <v>3.45</v>
      </c>
    </row>
    <row r="17" spans="2:4">
      <c r="B17">
        <v>2011</v>
      </c>
      <c r="C17" s="134">
        <v>5.56</v>
      </c>
      <c r="D17" s="134">
        <v>3.7</v>
      </c>
    </row>
    <row r="18" spans="2:4">
      <c r="B18">
        <v>2012</v>
      </c>
      <c r="C18" s="134">
        <v>5.26</v>
      </c>
      <c r="D18" s="134">
        <v>3.7</v>
      </c>
    </row>
    <row r="19" spans="2:4">
      <c r="B19">
        <v>2013</v>
      </c>
      <c r="C19" s="134">
        <v>5.88</v>
      </c>
      <c r="D19" s="134">
        <v>4.17</v>
      </c>
    </row>
    <row r="20" spans="2:4">
      <c r="B20">
        <v>2014</v>
      </c>
      <c r="C20" s="134">
        <v>6.25</v>
      </c>
      <c r="D20" s="134">
        <v>4.17</v>
      </c>
    </row>
    <row r="21" spans="2:4">
      <c r="B21">
        <v>2015</v>
      </c>
      <c r="C21" s="134">
        <v>6.67</v>
      </c>
      <c r="D21" s="134">
        <v>4</v>
      </c>
    </row>
    <row r="22" spans="2:4">
      <c r="B22" s="2">
        <v>2016</v>
      </c>
      <c r="C22" s="135">
        <v>7.14</v>
      </c>
      <c r="D22" s="135">
        <v>3.85</v>
      </c>
    </row>
    <row r="23" spans="2:4" ht="30" customHeight="1">
      <c r="B23" s="292" t="s">
        <v>441</v>
      </c>
      <c r="C23" s="292"/>
      <c r="D23" s="292"/>
    </row>
    <row r="24" spans="2:4">
      <c r="B24" s="16"/>
      <c r="C24" s="16"/>
      <c r="D24" s="16"/>
    </row>
    <row r="25" spans="2:4" ht="20.100000000000001" customHeight="1">
      <c r="B25" s="136" t="s">
        <v>161</v>
      </c>
      <c r="C25" s="136"/>
      <c r="D25" s="136"/>
    </row>
    <row r="26" spans="2:4" ht="20.100000000000001" customHeight="1">
      <c r="B26" s="136"/>
      <c r="C26" s="122" t="s">
        <v>442</v>
      </c>
      <c r="D26" s="122" t="s">
        <v>443</v>
      </c>
    </row>
    <row r="27" spans="2:4">
      <c r="B27" s="137" t="s">
        <v>444</v>
      </c>
      <c r="C27" s="138">
        <v>5.59</v>
      </c>
      <c r="D27" s="138">
        <v>3.8380000000000001</v>
      </c>
    </row>
    <row r="28" spans="2:4">
      <c r="B28" s="137" t="s">
        <v>445</v>
      </c>
      <c r="C28" s="138">
        <v>7.4998823529411762</v>
      </c>
      <c r="D28" s="138">
        <v>4.4127294117647056</v>
      </c>
    </row>
    <row r="29" spans="2:4">
      <c r="B29" s="137" t="s">
        <v>446</v>
      </c>
      <c r="C29" s="138">
        <v>9.409411764705883</v>
      </c>
      <c r="D29" s="138">
        <v>5.6456470588235295</v>
      </c>
    </row>
    <row r="30" spans="2:4">
      <c r="B30" s="137" t="s">
        <v>447</v>
      </c>
      <c r="C30" s="138">
        <v>11.300588235294118</v>
      </c>
      <c r="D30" s="138">
        <v>6.7803529411764698</v>
      </c>
    </row>
    <row r="31" spans="2:4">
      <c r="B31" s="137" t="s">
        <v>448</v>
      </c>
      <c r="C31" s="138">
        <v>13.191764705882353</v>
      </c>
      <c r="D31" s="138">
        <v>7.915058823529411</v>
      </c>
    </row>
    <row r="32" spans="2:4">
      <c r="B32" s="137" t="s">
        <v>449</v>
      </c>
      <c r="C32" s="138">
        <v>15.082941176470587</v>
      </c>
      <c r="D32" s="138">
        <v>9.0497647058823514</v>
      </c>
    </row>
    <row r="33" spans="2:4">
      <c r="B33" s="137" t="s">
        <v>450</v>
      </c>
      <c r="C33" s="138">
        <v>16.974117647058822</v>
      </c>
      <c r="D33" s="138">
        <v>10.184470588235293</v>
      </c>
    </row>
    <row r="34" spans="2:4">
      <c r="B34" s="136" t="s">
        <v>451</v>
      </c>
      <c r="C34" s="139">
        <v>18.865294117647057</v>
      </c>
      <c r="D34" s="139">
        <v>11.319176470588234</v>
      </c>
    </row>
    <row r="35" spans="2:4">
      <c r="B35" s="137" t="s">
        <v>452</v>
      </c>
      <c r="C35" s="137"/>
      <c r="D35" s="137"/>
    </row>
  </sheetData>
  <mergeCells count="1">
    <mergeCell ref="B23:D23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&amp;C&amp;F &amp;A  &amp;P/&amp;N&amp;R&amp;D &amp;T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5"/>
  <sheetViews>
    <sheetView showGridLines="0" zoomScaleNormal="100" workbookViewId="0">
      <selection activeCell="AD29" sqref="AD28:AD29"/>
    </sheetView>
  </sheetViews>
  <sheetFormatPr defaultRowHeight="13.5"/>
  <cols>
    <col min="1" max="1" width="2.625" customWidth="1"/>
    <col min="2" max="2" width="9.625" customWidth="1"/>
    <col min="3" max="3" width="1.625" customWidth="1"/>
    <col min="4" max="5" width="7.625" customWidth="1"/>
    <col min="6" max="6" width="1.625" customWidth="1"/>
    <col min="7" max="10" width="7.625" customWidth="1"/>
    <col min="11" max="11" width="1.625" customWidth="1"/>
    <col min="12" max="13" width="7.625" customWidth="1"/>
    <col min="14" max="14" width="1.625" customWidth="1"/>
    <col min="15" max="16" width="7.625" customWidth="1"/>
    <col min="17" max="17" width="1.625" customWidth="1"/>
    <col min="18" max="19" width="7.625" customWidth="1"/>
    <col min="20" max="20" width="1.625" customWidth="1"/>
    <col min="21" max="22" width="7.625" customWidth="1"/>
    <col min="23" max="23" width="1.625" customWidth="1"/>
    <col min="24" max="26" width="7.625" customWidth="1"/>
    <col min="27" max="27" width="1.625" customWidth="1"/>
    <col min="28" max="28" width="7.625" customWidth="1"/>
  </cols>
  <sheetData>
    <row r="1" spans="1:28">
      <c r="A1" s="1"/>
    </row>
    <row r="2" spans="1:28" ht="15.95" customHeight="1">
      <c r="B2" s="39" t="s">
        <v>486</v>
      </c>
      <c r="C2" s="11"/>
      <c r="D2" s="11"/>
      <c r="E2" s="11"/>
      <c r="F2" s="11"/>
    </row>
    <row r="3" spans="1:28" ht="15.95" customHeight="1">
      <c r="B3" s="11"/>
      <c r="C3" s="11"/>
      <c r="D3" s="11"/>
      <c r="E3" s="11"/>
      <c r="F3" s="11"/>
    </row>
    <row r="4" spans="1:28" ht="15.95" customHeight="1">
      <c r="B4" s="16"/>
      <c r="C4" s="16"/>
      <c r="D4" s="16"/>
      <c r="E4" s="16"/>
      <c r="F4" s="16"/>
      <c r="O4" s="16"/>
      <c r="R4" s="16"/>
      <c r="U4" s="140"/>
      <c r="V4" s="140"/>
      <c r="AB4" s="140"/>
    </row>
    <row r="5" spans="1:28" ht="15.95" customHeight="1">
      <c r="B5" s="131"/>
      <c r="C5" s="131"/>
      <c r="D5" s="265" t="s">
        <v>454</v>
      </c>
      <c r="E5" s="265"/>
      <c r="F5" s="141"/>
      <c r="G5" s="265" t="s">
        <v>455</v>
      </c>
      <c r="H5" s="265"/>
      <c r="I5" s="265"/>
      <c r="J5" s="265"/>
      <c r="K5" s="131"/>
      <c r="L5" s="265" t="s">
        <v>456</v>
      </c>
      <c r="M5" s="265"/>
      <c r="N5" s="131"/>
      <c r="O5" s="265" t="s">
        <v>457</v>
      </c>
      <c r="P5" s="265"/>
      <c r="Q5" s="4"/>
      <c r="R5" s="265" t="s">
        <v>458</v>
      </c>
      <c r="S5" s="265"/>
      <c r="T5" s="4"/>
      <c r="U5" s="265" t="s">
        <v>459</v>
      </c>
      <c r="V5" s="265"/>
      <c r="W5" s="131"/>
      <c r="X5" s="269" t="s">
        <v>460</v>
      </c>
      <c r="Y5" s="269"/>
      <c r="Z5" s="269"/>
      <c r="AA5" s="142"/>
      <c r="AB5" s="241" t="s">
        <v>461</v>
      </c>
    </row>
    <row r="6" spans="1:28" ht="44.1" customHeight="1">
      <c r="B6" s="140"/>
      <c r="C6" s="16"/>
      <c r="D6" s="244" t="s">
        <v>462</v>
      </c>
      <c r="E6" s="244" t="s">
        <v>463</v>
      </c>
      <c r="F6" s="143"/>
      <c r="G6" s="246" t="s">
        <v>464</v>
      </c>
      <c r="H6" s="244" t="s">
        <v>465</v>
      </c>
      <c r="I6" s="244" t="s">
        <v>466</v>
      </c>
      <c r="J6" s="244" t="s">
        <v>467</v>
      </c>
      <c r="K6" s="132"/>
      <c r="L6" s="244" t="s">
        <v>442</v>
      </c>
      <c r="M6" s="244" t="s">
        <v>443</v>
      </c>
      <c r="N6" s="132"/>
      <c r="O6" s="244" t="s">
        <v>468</v>
      </c>
      <c r="P6" s="244" t="s">
        <v>469</v>
      </c>
      <c r="Q6" s="144"/>
      <c r="R6" s="244" t="s">
        <v>468</v>
      </c>
      <c r="S6" s="244" t="s">
        <v>469</v>
      </c>
      <c r="T6" s="144"/>
      <c r="U6" s="244" t="s">
        <v>468</v>
      </c>
      <c r="V6" s="244" t="s">
        <v>469</v>
      </c>
      <c r="W6" s="132"/>
      <c r="X6" s="244" t="s">
        <v>469</v>
      </c>
      <c r="Y6" s="246" t="s">
        <v>470</v>
      </c>
      <c r="Z6" s="246" t="s">
        <v>471</v>
      </c>
      <c r="AA6" s="132"/>
      <c r="AB6" s="244" t="s">
        <v>469</v>
      </c>
    </row>
    <row r="7" spans="1:28" ht="30" customHeight="1">
      <c r="B7" s="145" t="s">
        <v>472</v>
      </c>
      <c r="D7" s="290" t="s">
        <v>691</v>
      </c>
      <c r="E7" s="290"/>
      <c r="F7" s="146"/>
      <c r="G7" s="272" t="s">
        <v>647</v>
      </c>
      <c r="H7" s="272"/>
      <c r="I7" s="272"/>
      <c r="J7" s="272"/>
      <c r="K7" s="16"/>
      <c r="L7" s="290" t="s">
        <v>692</v>
      </c>
      <c r="M7" s="290"/>
      <c r="N7" s="16"/>
      <c r="O7" s="243" t="s">
        <v>693</v>
      </c>
      <c r="P7" s="243" t="s">
        <v>473</v>
      </c>
      <c r="Q7" s="146"/>
      <c r="R7" s="243" t="s">
        <v>693</v>
      </c>
      <c r="S7" s="243" t="s">
        <v>473</v>
      </c>
      <c r="T7" s="146"/>
      <c r="U7" s="243" t="s">
        <v>694</v>
      </c>
      <c r="V7" s="243" t="s">
        <v>473</v>
      </c>
      <c r="W7" s="116"/>
      <c r="X7" s="243" t="s">
        <v>473</v>
      </c>
      <c r="Y7" s="243" t="s">
        <v>695</v>
      </c>
      <c r="Z7" s="243" t="s">
        <v>696</v>
      </c>
      <c r="AA7" s="116"/>
      <c r="AB7" s="243" t="s">
        <v>473</v>
      </c>
    </row>
    <row r="8" spans="1:28" ht="15.95" customHeight="1">
      <c r="B8" s="147"/>
      <c r="D8" s="28" t="s">
        <v>474</v>
      </c>
      <c r="E8" s="14"/>
      <c r="F8" s="80"/>
      <c r="G8" s="14"/>
      <c r="H8" s="14"/>
      <c r="I8" s="14"/>
      <c r="J8" s="14"/>
      <c r="K8" s="28"/>
      <c r="L8" s="28"/>
      <c r="M8" s="28"/>
      <c r="N8" s="28"/>
      <c r="O8" s="14"/>
      <c r="P8" s="14"/>
      <c r="Q8" s="58"/>
      <c r="R8" s="14"/>
      <c r="S8" s="14"/>
      <c r="T8" s="58"/>
      <c r="U8" s="14"/>
      <c r="V8" s="14"/>
      <c r="W8" s="52"/>
      <c r="X8" s="14"/>
      <c r="Y8" s="14"/>
      <c r="Z8" s="14"/>
      <c r="AA8" s="52"/>
      <c r="AB8" s="14"/>
    </row>
    <row r="9" spans="1:28" ht="15.95" customHeight="1">
      <c r="B9" t="s">
        <v>475</v>
      </c>
      <c r="D9" s="148">
        <v>20.9438</v>
      </c>
      <c r="E9" s="148">
        <v>20.9438</v>
      </c>
      <c r="F9" s="80"/>
      <c r="G9" s="148">
        <v>48.898000000000003</v>
      </c>
      <c r="H9" s="148">
        <v>48.898000000000003</v>
      </c>
      <c r="I9" s="148">
        <v>48.898000000000003</v>
      </c>
      <c r="J9" s="148">
        <v>48.898000000000003</v>
      </c>
      <c r="K9" s="28"/>
      <c r="L9" s="149">
        <v>5.59</v>
      </c>
      <c r="M9" s="149">
        <v>3.8380000000000001</v>
      </c>
      <c r="N9" s="28"/>
      <c r="O9" s="148">
        <v>20.936609527068185</v>
      </c>
      <c r="P9" s="148">
        <v>7.936848516848956</v>
      </c>
      <c r="Q9" s="148"/>
      <c r="R9" s="148">
        <v>20.936609527068185</v>
      </c>
      <c r="S9" s="148">
        <v>7.936848516848956</v>
      </c>
      <c r="T9" s="148"/>
      <c r="U9" s="148">
        <v>20.936609527068185</v>
      </c>
      <c r="V9" s="148">
        <v>7.936848516848956</v>
      </c>
      <c r="W9" s="148"/>
      <c r="X9" s="148">
        <v>7.936848516848956</v>
      </c>
      <c r="Y9" s="148">
        <v>5.59</v>
      </c>
      <c r="Z9" s="148">
        <v>3.8380000000000001</v>
      </c>
      <c r="AA9" s="148"/>
      <c r="AB9" s="148">
        <v>7.936848516848956</v>
      </c>
    </row>
    <row r="10" spans="1:28" ht="15.95" customHeight="1">
      <c r="B10" t="s">
        <v>476</v>
      </c>
      <c r="D10" s="148">
        <v>29.024928591309781</v>
      </c>
      <c r="E10" s="148">
        <v>28.317599999999999</v>
      </c>
      <c r="F10" s="80"/>
      <c r="G10" s="148">
        <v>43.348639673981324</v>
      </c>
      <c r="H10" s="148">
        <v>43.892172162906284</v>
      </c>
      <c r="I10" s="148">
        <v>44.435704651831237</v>
      </c>
      <c r="J10" s="148">
        <v>44.979237140756162</v>
      </c>
      <c r="K10" s="28"/>
      <c r="L10" s="149">
        <v>7.4998823529411762</v>
      </c>
      <c r="M10" s="149">
        <v>4.4127294117647056</v>
      </c>
      <c r="N10" s="28"/>
      <c r="O10" s="148">
        <v>23.849199266194674</v>
      </c>
      <c r="P10" s="148">
        <v>7.1837575438042975</v>
      </c>
      <c r="Q10" s="148"/>
      <c r="R10" s="148">
        <v>29.06392532418969</v>
      </c>
      <c r="S10" s="148">
        <v>7.237976058951336</v>
      </c>
      <c r="T10" s="148"/>
      <c r="U10" s="148">
        <v>28.240547525558895</v>
      </c>
      <c r="V10" s="148">
        <v>7.0781198618268064</v>
      </c>
      <c r="W10" s="148"/>
      <c r="X10" s="148">
        <v>7.0361075402646005</v>
      </c>
      <c r="Y10" s="148">
        <v>7.8498203505401207</v>
      </c>
      <c r="Z10" s="148">
        <v>4.6186235340496156</v>
      </c>
      <c r="AA10" s="148"/>
      <c r="AB10" s="148">
        <v>7.0051248163337156</v>
      </c>
    </row>
    <row r="11" spans="1:28" ht="15.95" customHeight="1">
      <c r="B11" t="s">
        <v>477</v>
      </c>
      <c r="D11" s="148">
        <v>33.972783051018176</v>
      </c>
      <c r="E11" s="148">
        <v>35.200000000000003</v>
      </c>
      <c r="F11" s="80"/>
      <c r="G11" s="148">
        <v>38.377239646671363</v>
      </c>
      <c r="H11" s="148">
        <v>40.195667434423726</v>
      </c>
      <c r="I11" s="148">
        <v>42.014095222176074</v>
      </c>
      <c r="J11" s="148">
        <v>43.832523009928401</v>
      </c>
      <c r="K11" s="28"/>
      <c r="L11" s="149">
        <v>9.409411764705883</v>
      </c>
      <c r="M11" s="149">
        <v>5.6456470588235295</v>
      </c>
      <c r="N11" s="28"/>
      <c r="O11" s="148">
        <v>25.270032103344978</v>
      </c>
      <c r="P11" s="148">
        <v>6.3816232962927701</v>
      </c>
      <c r="Q11" s="148"/>
      <c r="R11" s="148">
        <v>33.943961021936126</v>
      </c>
      <c r="S11" s="148">
        <v>6.797873009986569</v>
      </c>
      <c r="T11" s="148"/>
      <c r="U11" s="148">
        <v>35.137861629834021</v>
      </c>
      <c r="V11" s="148">
        <v>6.9852335106452292</v>
      </c>
      <c r="W11" s="148"/>
      <c r="X11" s="148">
        <v>6.2291778307996344</v>
      </c>
      <c r="Y11" s="148">
        <v>10.963958786378322</v>
      </c>
      <c r="Z11" s="148">
        <v>6.5783752718269932</v>
      </c>
      <c r="AA11" s="148"/>
      <c r="AB11" s="148">
        <v>6.4510967768006831</v>
      </c>
    </row>
    <row r="12" spans="1:28" ht="15.95" customHeight="1">
      <c r="B12" s="2" t="s">
        <v>478</v>
      </c>
      <c r="D12" s="150">
        <v>33.950847493348149</v>
      </c>
      <c r="E12" s="150">
        <v>40</v>
      </c>
      <c r="F12" s="80"/>
      <c r="G12" s="150">
        <v>34.126836613472442</v>
      </c>
      <c r="H12" s="150">
        <v>37.072932250631922</v>
      </c>
      <c r="I12" s="150">
        <v>40.019027887791381</v>
      </c>
      <c r="J12" s="150">
        <v>42.965123524950876</v>
      </c>
      <c r="K12" s="28"/>
      <c r="L12" s="66">
        <v>11.300588235294118</v>
      </c>
      <c r="M12" s="66">
        <v>6.7803529411764698</v>
      </c>
      <c r="N12" s="28"/>
      <c r="O12" s="150">
        <v>25.9422765148372</v>
      </c>
      <c r="P12" s="150">
        <v>5.834008527480357</v>
      </c>
      <c r="Q12" s="148"/>
      <c r="R12" s="150">
        <v>33.950756491044054</v>
      </c>
      <c r="S12" s="150">
        <v>5.9363774092146482</v>
      </c>
      <c r="T12" s="148"/>
      <c r="U12" s="150">
        <v>40.052330001020735</v>
      </c>
      <c r="V12" s="150">
        <v>6.8406674155388281</v>
      </c>
      <c r="W12" s="148"/>
      <c r="X12" s="150">
        <v>5.5392763008790817</v>
      </c>
      <c r="Y12" s="150">
        <v>12.873331677847151</v>
      </c>
      <c r="Z12" s="150">
        <v>7.7239990067082891</v>
      </c>
      <c r="AA12" s="148"/>
      <c r="AB12" s="150">
        <v>5.5667103775629752</v>
      </c>
    </row>
    <row r="13" spans="1:28" ht="15.95" customHeight="1">
      <c r="D13" s="148"/>
      <c r="E13" s="148"/>
      <c r="F13" s="80"/>
      <c r="G13" s="148"/>
      <c r="H13" s="148"/>
      <c r="I13" s="148"/>
      <c r="J13" s="148"/>
      <c r="K13" s="28"/>
      <c r="L13" s="148"/>
      <c r="M13" s="148"/>
      <c r="N13" s="2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</row>
    <row r="14" spans="1:28" ht="15.95" customHeight="1">
      <c r="B14" s="147"/>
      <c r="D14" s="151" t="s">
        <v>479</v>
      </c>
      <c r="E14" s="14"/>
      <c r="F14" s="80"/>
      <c r="G14" s="14"/>
      <c r="H14" s="14"/>
      <c r="I14" s="14"/>
      <c r="J14" s="14"/>
      <c r="K14" s="28"/>
      <c r="L14" s="28"/>
      <c r="M14" s="28"/>
      <c r="N14" s="28"/>
      <c r="O14" s="14"/>
      <c r="P14" s="14"/>
      <c r="Q14" s="58"/>
      <c r="R14" s="14"/>
      <c r="S14" s="14"/>
      <c r="T14" s="58"/>
      <c r="U14" s="14"/>
      <c r="V14" s="14"/>
      <c r="W14" s="52"/>
      <c r="X14" s="14"/>
      <c r="Y14" s="14"/>
      <c r="Z14" s="14"/>
      <c r="AA14" s="52"/>
      <c r="AB14" s="14"/>
    </row>
    <row r="15" spans="1:28" ht="15.95" customHeight="1">
      <c r="B15" t="s">
        <v>475</v>
      </c>
      <c r="D15" s="58">
        <f>D9/D$9*100</f>
        <v>100</v>
      </c>
      <c r="E15" s="58">
        <f t="shared" ref="E15:J18" si="0">E9/E$9*100</f>
        <v>100</v>
      </c>
      <c r="F15" s="58"/>
      <c r="G15" s="58">
        <f t="shared" si="0"/>
        <v>100</v>
      </c>
      <c r="H15" s="58">
        <f t="shared" si="0"/>
        <v>100</v>
      </c>
      <c r="I15" s="58">
        <f t="shared" si="0"/>
        <v>100</v>
      </c>
      <c r="J15" s="58">
        <f t="shared" si="0"/>
        <v>100</v>
      </c>
      <c r="K15" s="58"/>
      <c r="L15" s="58">
        <f t="shared" ref="L15:M18" si="1">L9/L$9*100</f>
        <v>100</v>
      </c>
      <c r="M15" s="58">
        <f t="shared" si="1"/>
        <v>100</v>
      </c>
      <c r="N15" s="58"/>
      <c r="O15" s="58">
        <f t="shared" ref="O15:P18" si="2">O9/O$9*100</f>
        <v>100</v>
      </c>
      <c r="P15" s="58">
        <f t="shared" si="2"/>
        <v>100</v>
      </c>
      <c r="Q15" s="58"/>
      <c r="R15" s="58">
        <f t="shared" ref="R15:S18" si="3">R9/R$9*100</f>
        <v>100</v>
      </c>
      <c r="S15" s="58">
        <f t="shared" si="3"/>
        <v>100</v>
      </c>
      <c r="T15" s="58"/>
      <c r="U15" s="58">
        <f t="shared" ref="U15:V18" si="4">U9/U$9*100</f>
        <v>100</v>
      </c>
      <c r="V15" s="58">
        <f t="shared" si="4"/>
        <v>100</v>
      </c>
      <c r="W15" s="58"/>
      <c r="X15" s="58">
        <f t="shared" ref="X15:Z18" si="5">X9/X$9*100</f>
        <v>100</v>
      </c>
      <c r="Y15" s="58">
        <f t="shared" si="5"/>
        <v>100</v>
      </c>
      <c r="Z15" s="58">
        <f t="shared" si="5"/>
        <v>100</v>
      </c>
      <c r="AA15" s="58"/>
      <c r="AB15" s="58">
        <f>AB9/AB$9*100</f>
        <v>100</v>
      </c>
    </row>
    <row r="16" spans="1:28" ht="15.95" customHeight="1">
      <c r="B16" t="s">
        <v>476</v>
      </c>
      <c r="D16" s="58">
        <f>D10/D$9*100</f>
        <v>138.58482506187883</v>
      </c>
      <c r="E16" s="58">
        <f t="shared" si="0"/>
        <v>135.2075554579398</v>
      </c>
      <c r="F16" s="58"/>
      <c r="G16" s="58">
        <f t="shared" si="0"/>
        <v>88.651150709602277</v>
      </c>
      <c r="H16" s="58">
        <f t="shared" si="0"/>
        <v>89.76271455459586</v>
      </c>
      <c r="I16" s="58">
        <f t="shared" si="0"/>
        <v>90.874278399589414</v>
      </c>
      <c r="J16" s="58">
        <f t="shared" si="0"/>
        <v>91.985842244582926</v>
      </c>
      <c r="K16" s="58"/>
      <c r="L16" s="58">
        <f t="shared" si="1"/>
        <v>134.16605282542355</v>
      </c>
      <c r="M16" s="58">
        <f t="shared" si="1"/>
        <v>114.97471109340036</v>
      </c>
      <c r="N16" s="58"/>
      <c r="O16" s="58">
        <f t="shared" si="2"/>
        <v>113.91146802141438</v>
      </c>
      <c r="P16" s="58">
        <f t="shared" si="2"/>
        <v>90.511460922481518</v>
      </c>
      <c r="Q16" s="58"/>
      <c r="R16" s="58">
        <f t="shared" si="3"/>
        <v>138.81868163330836</v>
      </c>
      <c r="S16" s="58">
        <f t="shared" si="3"/>
        <v>91.194584898351039</v>
      </c>
      <c r="T16" s="58"/>
      <c r="U16" s="58">
        <f t="shared" si="4"/>
        <v>134.88596369458824</v>
      </c>
      <c r="V16" s="58">
        <f t="shared" si="4"/>
        <v>89.180483245973846</v>
      </c>
      <c r="W16" s="58"/>
      <c r="X16" s="58">
        <f t="shared" si="5"/>
        <v>88.651150709602263</v>
      </c>
      <c r="Y16" s="58">
        <f t="shared" si="5"/>
        <v>140.4261243388215</v>
      </c>
      <c r="Z16" s="58">
        <f t="shared" si="5"/>
        <v>120.33933126757728</v>
      </c>
      <c r="AA16" s="58"/>
      <c r="AB16" s="58">
        <f>AB10/AB$9*100</f>
        <v>88.26078513987882</v>
      </c>
    </row>
    <row r="17" spans="2:28" ht="15.95" customHeight="1">
      <c r="B17" t="s">
        <v>477</v>
      </c>
      <c r="D17" s="58">
        <f>D11/D$9*100</f>
        <v>162.20926026326731</v>
      </c>
      <c r="E17" s="58">
        <f t="shared" si="0"/>
        <v>168.06883182612518</v>
      </c>
      <c r="F17" s="58"/>
      <c r="G17" s="58">
        <f t="shared" si="0"/>
        <v>78.484272662831529</v>
      </c>
      <c r="H17" s="58">
        <f t="shared" si="0"/>
        <v>82.203090994363208</v>
      </c>
      <c r="I17" s="58">
        <f t="shared" si="0"/>
        <v>85.921909325894859</v>
      </c>
      <c r="J17" s="58">
        <f t="shared" si="0"/>
        <v>89.640727657426481</v>
      </c>
      <c r="K17" s="58"/>
      <c r="L17" s="58">
        <f t="shared" si="1"/>
        <v>168.32579185520365</v>
      </c>
      <c r="M17" s="58">
        <f t="shared" si="1"/>
        <v>147.09867271556877</v>
      </c>
      <c r="N17" s="58"/>
      <c r="O17" s="58">
        <f t="shared" si="2"/>
        <v>120.6978239273855</v>
      </c>
      <c r="P17" s="58">
        <f t="shared" si="2"/>
        <v>80.405003103503446</v>
      </c>
      <c r="Q17" s="58"/>
      <c r="R17" s="58">
        <f t="shared" si="3"/>
        <v>162.1273061335514</v>
      </c>
      <c r="S17" s="58">
        <f t="shared" si="3"/>
        <v>85.649524437256403</v>
      </c>
      <c r="T17" s="58"/>
      <c r="U17" s="58">
        <f t="shared" si="4"/>
        <v>167.82976051784101</v>
      </c>
      <c r="V17" s="58">
        <f t="shared" si="4"/>
        <v>88.010165443077753</v>
      </c>
      <c r="W17" s="58"/>
      <c r="X17" s="58">
        <f t="shared" si="5"/>
        <v>78.484272662831529</v>
      </c>
      <c r="Y17" s="58">
        <f t="shared" si="5"/>
        <v>196.13521979209881</v>
      </c>
      <c r="Z17" s="58">
        <f t="shared" si="5"/>
        <v>171.40112745771216</v>
      </c>
      <c r="AA17" s="58"/>
      <c r="AB17" s="58">
        <f>AB11/AB$9*100</f>
        <v>81.280331394832544</v>
      </c>
    </row>
    <row r="18" spans="2:28" ht="15.95" customHeight="1">
      <c r="B18" s="2" t="s">
        <v>478</v>
      </c>
      <c r="C18" s="2"/>
      <c r="D18" s="65">
        <f>D12/D$9*100</f>
        <v>162.10452493505548</v>
      </c>
      <c r="E18" s="65">
        <f t="shared" si="0"/>
        <v>190.98730889332404</v>
      </c>
      <c r="F18" s="65"/>
      <c r="G18" s="65">
        <f t="shared" si="0"/>
        <v>69.791886403273011</v>
      </c>
      <c r="H18" s="65">
        <f t="shared" si="0"/>
        <v>75.816868278113461</v>
      </c>
      <c r="I18" s="65">
        <f t="shared" si="0"/>
        <v>81.841850152953867</v>
      </c>
      <c r="J18" s="65">
        <f t="shared" si="0"/>
        <v>87.866832027794331</v>
      </c>
      <c r="K18" s="65"/>
      <c r="L18" s="65">
        <f t="shared" si="1"/>
        <v>202.15721351152268</v>
      </c>
      <c r="M18" s="65">
        <f t="shared" si="1"/>
        <v>176.66370352205496</v>
      </c>
      <c r="N18" s="65"/>
      <c r="O18" s="65">
        <f t="shared" si="2"/>
        <v>123.90868006253528</v>
      </c>
      <c r="P18" s="65">
        <f t="shared" si="2"/>
        <v>73.505353101995993</v>
      </c>
      <c r="Q18" s="65"/>
      <c r="R18" s="65">
        <f t="shared" si="3"/>
        <v>162.15976348582299</v>
      </c>
      <c r="S18" s="65">
        <f t="shared" si="3"/>
        <v>74.795145662821298</v>
      </c>
      <c r="T18" s="65"/>
      <c r="U18" s="65">
        <f t="shared" si="4"/>
        <v>191.30284657235703</v>
      </c>
      <c r="V18" s="65">
        <f t="shared" si="4"/>
        <v>86.188710809043783</v>
      </c>
      <c r="W18" s="65"/>
      <c r="X18" s="65">
        <f t="shared" si="5"/>
        <v>69.791886403273011</v>
      </c>
      <c r="Y18" s="65">
        <f t="shared" si="5"/>
        <v>230.29215881658592</v>
      </c>
      <c r="Z18" s="65">
        <f t="shared" si="5"/>
        <v>201.25062550047653</v>
      </c>
      <c r="AA18" s="65"/>
      <c r="AB18" s="65">
        <f>AB12/AB$9*100</f>
        <v>70.137540936374577</v>
      </c>
    </row>
    <row r="19" spans="2:28" ht="15.95" customHeight="1"/>
    <row r="20" spans="2:28" ht="15.95" customHeight="1">
      <c r="B20" t="s">
        <v>480</v>
      </c>
    </row>
    <row r="21" spans="2:28" ht="15.95" customHeight="1">
      <c r="B21" t="s">
        <v>481</v>
      </c>
    </row>
    <row r="22" spans="2:28" ht="15.95" customHeight="1">
      <c r="B22" t="s">
        <v>482</v>
      </c>
    </row>
    <row r="23" spans="2:28" ht="15.95" customHeight="1">
      <c r="B23" t="s">
        <v>483</v>
      </c>
    </row>
    <row r="24" spans="2:28" ht="15.95" customHeight="1">
      <c r="B24" t="s">
        <v>484</v>
      </c>
    </row>
    <row r="25" spans="2:28" ht="15.95" customHeight="1">
      <c r="B25" t="s">
        <v>485</v>
      </c>
    </row>
  </sheetData>
  <mergeCells count="10">
    <mergeCell ref="X5:Z5"/>
    <mergeCell ref="D7:E7"/>
    <mergeCell ref="G7:J7"/>
    <mergeCell ref="L7:M7"/>
    <mergeCell ref="D5:E5"/>
    <mergeCell ref="G5:J5"/>
    <mergeCell ref="L5:M5"/>
    <mergeCell ref="O5:P5"/>
    <mergeCell ref="R5:S5"/>
    <mergeCell ref="U5:V5"/>
  </mergeCells>
  <phoneticPr fontId="4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FF99FF"/>
    <pageSetUpPr fitToPage="1"/>
  </sheetPr>
  <dimension ref="A1:AK74"/>
  <sheetViews>
    <sheetView showGridLines="0" workbookViewId="0">
      <selection activeCell="Z69" sqref="Z69"/>
    </sheetView>
  </sheetViews>
  <sheetFormatPr defaultRowHeight="13.5"/>
  <cols>
    <col min="1" max="1" width="2.625" customWidth="1"/>
    <col min="2" max="2" width="9.625" customWidth="1"/>
    <col min="3" max="3" width="1.625" customWidth="1"/>
    <col min="4" max="4" width="9.125" customWidth="1"/>
    <col min="5" max="5" width="1.625" customWidth="1"/>
    <col min="6" max="6" width="8.625" customWidth="1"/>
    <col min="7" max="8" width="7.625" customWidth="1"/>
    <col min="9" max="9" width="1.625" customWidth="1"/>
    <col min="10" max="10" width="6.625" customWidth="1"/>
    <col min="11" max="11" width="7.625" customWidth="1"/>
    <col min="12" max="12" width="8.125" customWidth="1"/>
    <col min="13" max="13" width="1.625" customWidth="1"/>
    <col min="14" max="14" width="6.625" customWidth="1"/>
    <col min="15" max="18" width="7.625" customWidth="1"/>
    <col min="19" max="19" width="1.625" customWidth="1"/>
    <col min="20" max="20" width="7.125" customWidth="1"/>
    <col min="21" max="23" width="7.625" customWidth="1"/>
    <col min="24" max="24" width="1.625" customWidth="1"/>
    <col min="25" max="25" width="7.125" customWidth="1"/>
    <col min="26" max="27" width="7.625" customWidth="1"/>
    <col min="28" max="28" width="1.625" customWidth="1"/>
    <col min="29" max="29" width="6.625" customWidth="1"/>
    <col min="30" max="30" width="8.125" customWidth="1"/>
    <col min="31" max="32" width="7.625" customWidth="1"/>
    <col min="33" max="33" width="8.625" customWidth="1"/>
    <col min="34" max="34" width="8.125" customWidth="1"/>
    <col min="36" max="37" width="9" style="137" hidden="1" customWidth="1"/>
    <col min="38" max="16384" width="9" style="137"/>
  </cols>
  <sheetData>
    <row r="1" spans="1:37">
      <c r="A1" s="1" t="s">
        <v>674</v>
      </c>
      <c r="B1" s="1"/>
      <c r="C1" s="1"/>
      <c r="D1" s="1"/>
      <c r="E1" s="1"/>
      <c r="K1" s="152"/>
      <c r="AJ1" s="153" t="s">
        <v>487</v>
      </c>
      <c r="AK1" s="34"/>
    </row>
    <row r="2" spans="1:37">
      <c r="B2" s="39" t="s">
        <v>531</v>
      </c>
      <c r="C2" s="11"/>
      <c r="D2" s="11"/>
      <c r="E2" s="11"/>
      <c r="K2" s="154"/>
      <c r="AJ2" s="34"/>
      <c r="AK2" s="34"/>
    </row>
    <row r="3" spans="1:37">
      <c r="K3" s="155"/>
      <c r="P3" s="155"/>
      <c r="AJ3" s="34"/>
      <c r="AK3" s="34"/>
    </row>
    <row r="4" spans="1:37">
      <c r="C4" s="32" t="s">
        <v>488</v>
      </c>
      <c r="D4" t="s">
        <v>431</v>
      </c>
      <c r="F4" t="s">
        <v>489</v>
      </c>
      <c r="K4" t="str">
        <f>"再造林率：現状 ("&amp;TEXT(H67,"00%")&amp;")"</f>
        <v>再造林率：現状 (49%)</v>
      </c>
      <c r="AJ4" s="34"/>
      <c r="AK4" s="34"/>
    </row>
    <row r="5" spans="1:37" ht="15.95" customHeight="1">
      <c r="B5" s="2"/>
      <c r="C5" s="2"/>
      <c r="D5" s="2"/>
      <c r="E5" s="2"/>
      <c r="F5" s="3"/>
      <c r="G5" s="44"/>
      <c r="H5" s="2"/>
      <c r="I5" s="16"/>
      <c r="L5" s="2"/>
      <c r="M5" s="2"/>
      <c r="N5" s="2"/>
      <c r="O5" s="2"/>
      <c r="P5" s="2"/>
      <c r="Q5" s="3"/>
      <c r="R5" s="109"/>
      <c r="S5" s="109"/>
      <c r="T5" s="2"/>
      <c r="U5" s="3"/>
      <c r="V5" s="109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J5" s="156"/>
      <c r="AK5" s="156"/>
    </row>
    <row r="6" spans="1:37" ht="15.95" customHeight="1">
      <c r="B6" s="131"/>
      <c r="C6" s="131"/>
      <c r="D6" s="289" t="s">
        <v>490</v>
      </c>
      <c r="E6" s="104"/>
      <c r="F6" s="265" t="s">
        <v>399</v>
      </c>
      <c r="G6" s="265"/>
      <c r="H6" s="265"/>
      <c r="I6" s="104"/>
      <c r="J6" s="265" t="s">
        <v>400</v>
      </c>
      <c r="K6" s="265"/>
      <c r="L6" s="265"/>
      <c r="M6" s="104"/>
      <c r="N6" s="265" t="s">
        <v>689</v>
      </c>
      <c r="O6" s="265"/>
      <c r="P6" s="265"/>
      <c r="Q6" s="265"/>
      <c r="R6" s="265"/>
      <c r="S6" s="104"/>
      <c r="T6" s="265" t="s">
        <v>687</v>
      </c>
      <c r="U6" s="265"/>
      <c r="V6" s="265"/>
      <c r="W6" s="265"/>
      <c r="X6" s="104"/>
      <c r="Y6" s="265" t="s">
        <v>347</v>
      </c>
      <c r="Z6" s="265"/>
      <c r="AA6" s="265"/>
      <c r="AB6" s="104"/>
      <c r="AC6" s="265" t="s">
        <v>491</v>
      </c>
      <c r="AD6" s="265"/>
      <c r="AE6" s="265"/>
      <c r="AF6" s="265"/>
      <c r="AG6" s="265"/>
      <c r="AH6" s="265"/>
      <c r="AJ6" s="293" t="s">
        <v>492</v>
      </c>
      <c r="AK6" s="293"/>
    </row>
    <row r="7" spans="1:37" ht="15.95" customHeight="1">
      <c r="B7" s="15" t="s">
        <v>493</v>
      </c>
      <c r="C7" s="16"/>
      <c r="D7" s="276"/>
      <c r="E7" s="55"/>
      <c r="F7" s="289" t="s">
        <v>1</v>
      </c>
      <c r="G7" s="289" t="s">
        <v>316</v>
      </c>
      <c r="H7" s="289" t="s">
        <v>317</v>
      </c>
      <c r="I7" s="55"/>
      <c r="J7" s="289" t="s">
        <v>1</v>
      </c>
      <c r="K7" s="289" t="s">
        <v>401</v>
      </c>
      <c r="L7" s="289" t="s">
        <v>319</v>
      </c>
      <c r="M7" s="55"/>
      <c r="N7" s="289" t="s">
        <v>1</v>
      </c>
      <c r="O7" s="289" t="s">
        <v>494</v>
      </c>
      <c r="P7" s="289" t="s">
        <v>403</v>
      </c>
      <c r="Q7" s="289" t="s">
        <v>495</v>
      </c>
      <c r="R7" s="289" t="s">
        <v>496</v>
      </c>
      <c r="S7" s="55"/>
      <c r="T7" s="289" t="s">
        <v>1</v>
      </c>
      <c r="U7" s="289" t="s">
        <v>494</v>
      </c>
      <c r="V7" s="289" t="s">
        <v>495</v>
      </c>
      <c r="W7" s="289" t="s">
        <v>496</v>
      </c>
      <c r="X7" s="55"/>
      <c r="Y7" s="289" t="s">
        <v>1</v>
      </c>
      <c r="Z7" s="289" t="s">
        <v>413</v>
      </c>
      <c r="AA7" s="289" t="s">
        <v>352</v>
      </c>
      <c r="AB7" s="55"/>
      <c r="AC7" s="289" t="s">
        <v>1</v>
      </c>
      <c r="AD7" s="289" t="s">
        <v>497</v>
      </c>
      <c r="AE7" s="286" t="s">
        <v>498</v>
      </c>
      <c r="AF7" s="286"/>
      <c r="AG7" s="286"/>
      <c r="AH7" s="289" t="s">
        <v>499</v>
      </c>
      <c r="AJ7" s="294" t="s">
        <v>500</v>
      </c>
      <c r="AK7" s="294" t="s">
        <v>501</v>
      </c>
    </row>
    <row r="8" spans="1:37" ht="15.95" customHeight="1">
      <c r="B8" s="6"/>
      <c r="D8" s="278"/>
      <c r="E8" s="55"/>
      <c r="F8" s="278"/>
      <c r="G8" s="278"/>
      <c r="H8" s="278"/>
      <c r="I8" s="55"/>
      <c r="J8" s="278"/>
      <c r="K8" s="278"/>
      <c r="L8" s="278"/>
      <c r="M8" s="55"/>
      <c r="N8" s="278"/>
      <c r="O8" s="278"/>
      <c r="P8" s="278"/>
      <c r="Q8" s="278"/>
      <c r="R8" s="278"/>
      <c r="S8" s="55"/>
      <c r="T8" s="278"/>
      <c r="U8" s="278"/>
      <c r="V8" s="278"/>
      <c r="W8" s="278"/>
      <c r="X8" s="55"/>
      <c r="Y8" s="278"/>
      <c r="Z8" s="278"/>
      <c r="AA8" s="278"/>
      <c r="AB8" s="55"/>
      <c r="AC8" s="278"/>
      <c r="AD8" s="278"/>
      <c r="AE8" s="56" t="s">
        <v>1</v>
      </c>
      <c r="AF8" s="56" t="s">
        <v>401</v>
      </c>
      <c r="AG8" s="56" t="s">
        <v>319</v>
      </c>
      <c r="AH8" s="278"/>
      <c r="AJ8" s="295"/>
      <c r="AK8" s="295"/>
    </row>
    <row r="9" spans="1:37" ht="14.1" customHeight="1">
      <c r="E9" s="16"/>
      <c r="F9" s="16" t="s">
        <v>474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71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J9" s="34"/>
      <c r="AK9" s="34"/>
    </row>
    <row r="10" spans="1:37" ht="14.1" customHeight="1">
      <c r="B10" s="106" t="s">
        <v>502</v>
      </c>
      <c r="D10" s="49"/>
      <c r="E10" s="110"/>
      <c r="F10" s="157">
        <f>SUM(G10:H10)</f>
        <v>70.447052880172407</v>
      </c>
      <c r="G10" s="157">
        <v>38.885333558651013</v>
      </c>
      <c r="H10" s="157">
        <v>31.561719321521402</v>
      </c>
      <c r="I10" s="157"/>
      <c r="J10" s="158">
        <f>SUM(K10:L10)</f>
        <v>516.63924816976009</v>
      </c>
      <c r="K10" s="158">
        <v>282.07085384376006</v>
      </c>
      <c r="L10" s="158">
        <v>234.568394326</v>
      </c>
      <c r="M10" s="157"/>
      <c r="N10" s="157">
        <f>SUM(O10:R10)</f>
        <v>42.331700162355752</v>
      </c>
      <c r="O10" s="110">
        <v>14.006981502836402</v>
      </c>
      <c r="P10" s="110">
        <v>11.131364598429178</v>
      </c>
      <c r="Q10" s="110">
        <v>13.027207110649348</v>
      </c>
      <c r="R10" s="110">
        <v>4.1661469504408251</v>
      </c>
      <c r="S10" s="110"/>
      <c r="T10" s="110">
        <f>SUM(U10:W10)</f>
        <v>20.936609527068185</v>
      </c>
      <c r="U10" s="110">
        <v>10.41371324237288</v>
      </c>
      <c r="V10" s="110">
        <v>7.4255080530701276</v>
      </c>
      <c r="W10" s="110">
        <v>3.0973882316251773</v>
      </c>
      <c r="X10" s="110"/>
      <c r="Y10" s="110">
        <f>SUM(Z10:AA10)</f>
        <v>25.055111618445864</v>
      </c>
      <c r="Z10" s="110">
        <v>19.008711618445862</v>
      </c>
      <c r="AA10" s="110">
        <v>6.0464000000000002</v>
      </c>
      <c r="AB10" s="110"/>
      <c r="AC10" s="110">
        <f>SUM(AD10:AE10,AH10)</f>
        <v>7.936848516848956</v>
      </c>
      <c r="AD10" s="110">
        <v>1.8926768784358732</v>
      </c>
      <c r="AE10" s="110">
        <f>SUM(AF10:AG10)</f>
        <v>3.6271588523669189</v>
      </c>
      <c r="AF10" s="110">
        <v>1.6924251230625604</v>
      </c>
      <c r="AG10" s="110">
        <f>V10/AK10</f>
        <v>1.9347337293043583</v>
      </c>
      <c r="AH10" s="110">
        <f>(U10+W10)/AJ10</f>
        <v>2.4170127860461639</v>
      </c>
      <c r="AJ10" s="159">
        <v>5.59</v>
      </c>
      <c r="AK10" s="159">
        <v>3.8380000000000001</v>
      </c>
    </row>
    <row r="11" spans="1:37" ht="14.1" customHeight="1">
      <c r="B11" s="106" t="s">
        <v>503</v>
      </c>
      <c r="D11" s="160">
        <v>1</v>
      </c>
      <c r="E11" s="161"/>
      <c r="F11" s="157">
        <f>SUM(G11:H11)</f>
        <v>80.620014050830719</v>
      </c>
      <c r="G11" s="157">
        <f>F40/5</f>
        <v>48.775093340320005</v>
      </c>
      <c r="H11" s="157">
        <f>AG23*F$66</f>
        <v>31.844920710510717</v>
      </c>
      <c r="I11" s="162"/>
      <c r="J11" s="158">
        <f>SUM(K11:L11)</f>
        <v>406.18600677584004</v>
      </c>
      <c r="K11" s="158">
        <f>F46/5</f>
        <v>194.88940472784006</v>
      </c>
      <c r="L11" s="158">
        <f>F52/5</f>
        <v>211.29660204800001</v>
      </c>
      <c r="M11" s="162"/>
      <c r="N11" s="157">
        <f>SUM(O11:R11)</f>
        <v>43.078172928230913</v>
      </c>
      <c r="O11" s="110">
        <f>SUM($H40*($G$29+$H$29),$J40*($H$29+$J$29),$K40*($J$29+$K$29),$L40*($K$29+$L$29),$N40*($L$29+$N$29),$O40*($N$29+$O$29),$P40*($O$29+$P$29),$Q40*($P$29+$Q$29),$R40*($Q$29+$R$29),$T40*($R$29+$T$29),$U40*($T$29+$U$29),$V40*($U$29+$V$29),$W40*($V$29+$W$29),$Y40*($W$29+$Y$29),$Z40*($Y$29+$Z$29),$AA40*($Z$29+$AA$29),$AC40*($AA$29+$AC$29),$AD40*($AC$29+$AD$29),$AE40*($AD$29+$AE$29))/2/5/1000</f>
        <v>18.458093552292013</v>
      </c>
      <c r="P11" s="110">
        <f>SUM($H46*($G$29+$H$29),$J46*($H$29+$J$29),$K46*($J$29+$K$29),$L46*($K$29+$L$29),$N46*($L$29+$N$29),$O46*($N$29+$O$29),$P46*($O$29+$P$29),$Q46*($P$29+$Q$29),$R46*($Q$29+$R$29),$T46*($R$29+$T$29),$U46*($T$29+$U$29),$V46*($U$29+$V$29),$W46*($V$29+$W$29),$Y46*($W$29+$Y$29),$Z46*($Y$29+$Z$29),$AA46*($Z$29+$AA$29),$AC46*($AA$29+$AC$29),$AD46*($AC$29+$AD$29),$AE46*($AD$29+$AE$29))*$F$64/2/5/1000</f>
        <v>8.1339971268373787</v>
      </c>
      <c r="Q11" s="110">
        <f>SUM($H52*($G$29+$H$29),$J52*($H$29+$J$29),$K52*($J$29+$K$29),$L52*($K$29+$L$29),$N52*($L$29+$N$29),$O52*($N$29+$O$29),$P52*($O$29+$P$29),$Q52*($P$29+$Q$29),$R52*($Q$29+$R$29),$T52*($R$29+$T$29),$U52*($T$29+$U$29),$V52*($U$29+$V$29),$W52*($V$29+$W$29),$Y52*($W$29+$Y$29),$Z52*($Y$29+$Z$29),$AA52*($Z$29+$AA$29),$AC52*($AA$29+$AC$29),$AD52*($AC$29+$AD$29),$AE52*($AD$29+$AE$29))*$F$65/2/5/1000</f>
        <v>12.282552715314102</v>
      </c>
      <c r="R11" s="110">
        <f>H11*F$67/1000</f>
        <v>4.2035295337874148</v>
      </c>
      <c r="S11" s="161"/>
      <c r="T11" s="110">
        <f>SUM(U11:W11)</f>
        <v>23.849199266194681</v>
      </c>
      <c r="U11" s="110">
        <f>O11*L$67</f>
        <v>13.722963310513189</v>
      </c>
      <c r="V11" s="110">
        <f t="shared" ref="V11:W13" si="0">Q11*N$67</f>
        <v>7.0010550477290376</v>
      </c>
      <c r="W11" s="110">
        <f t="shared" si="0"/>
        <v>3.1251809079524544</v>
      </c>
      <c r="X11" s="161"/>
      <c r="Y11" s="110">
        <f>SUM(Z11:AA11)</f>
        <v>29.943877082551449</v>
      </c>
      <c r="Z11" s="110">
        <f>G11*H$67</f>
        <v>23.843223102882561</v>
      </c>
      <c r="AA11" s="110">
        <f>H11*J$67</f>
        <v>6.1006539796688886</v>
      </c>
      <c r="AB11" s="161"/>
      <c r="AC11" s="110">
        <f>SUM(AD11:AE11,AH11)</f>
        <v>7.1837575438042975</v>
      </c>
      <c r="AD11" s="110">
        <f>SUMPRODUCT(G24:H24,IF($D$4="従来",G$62:H$62,IF($D$4="省力",G$63:H$63)))/5/1000</f>
        <v>2.1814077645309471</v>
      </c>
      <c r="AE11" s="110">
        <f>SUM(AF11:AG11)</f>
        <v>2.7558953116431457</v>
      </c>
      <c r="AF11" s="110">
        <f>SUMPRODUCT(L46:R46,IF($D$4="従来",L$62:R$62,IF($D$4="省力",L$63:R$63)))/5/1000</f>
        <v>1.1693364283670402</v>
      </c>
      <c r="AG11" s="110">
        <f>V11/AK11</f>
        <v>1.5865588832761055</v>
      </c>
      <c r="AH11" s="110">
        <f>(U11+W11)/AJ11</f>
        <v>2.2464544676302052</v>
      </c>
      <c r="AJ11" s="159">
        <v>7.4998823529411762</v>
      </c>
      <c r="AK11" s="159">
        <v>4.4127294117647056</v>
      </c>
    </row>
    <row r="12" spans="1:37" ht="14.1" customHeight="1">
      <c r="B12" s="106" t="s">
        <v>477</v>
      </c>
      <c r="D12" s="160">
        <v>1</v>
      </c>
      <c r="E12" s="161"/>
      <c r="F12" s="157">
        <f>SUM(G12:H12)</f>
        <v>88.4562621288635</v>
      </c>
      <c r="G12" s="157">
        <f>F41/5</f>
        <v>56.683939783894871</v>
      </c>
      <c r="H12" s="157">
        <f>AG24*F$66</f>
        <v>31.772322344968629</v>
      </c>
      <c r="I12" s="162"/>
      <c r="J12" s="158">
        <f>SUM(K12:L12)</f>
        <v>306.27287423210004</v>
      </c>
      <c r="K12" s="158">
        <f>F47/5</f>
        <v>136.02447560480005</v>
      </c>
      <c r="L12" s="158">
        <f>F53/5</f>
        <v>170.24839862729999</v>
      </c>
      <c r="M12" s="162"/>
      <c r="N12" s="157">
        <f>SUM(O12:R12)</f>
        <v>42.013377889647721</v>
      </c>
      <c r="O12" s="110">
        <f>SUM($H41*($G$29+$H$29),$J41*($H$29+$J$29),$K41*($J$29+$K$29),$L41*($K$29+$L$29),$N41*($L$29+$N$29),$O41*($N$29+$O$29),$P41*($O$29+$P$29),$Q41*($P$29+$Q$29),$R41*($Q$29+$R$29),$T41*($R$29+$T$29),$U41*($T$29+$U$29),$V41*($U$29+$V$29),$W41*($V$29+$W$29),$Y41*($W$29+$Y$29),$Z41*($Y$29+$Z$29),$AA41*($Z$29+$AA$29),$AC41*($AA$29+$AC$29),$AD41*($AC$29+$AD$29),$AE41*($AD$29+$AE$29))/2/5/1000</f>
        <v>22.089548603746302</v>
      </c>
      <c r="P12" s="110">
        <f>SUM($H47*($G$29+$H$29),$J47*($H$29+$J$29),$K47*($J$29+$K$29),$L47*($K$29+$L$29),$N47*($L$29+$N$29),$O47*($N$29+$O$29),$P47*($O$29+$P$29),$Q47*($P$29+$Q$29),$R47*($Q$29+$R$29),$T47*($R$29+$T$29),$U47*($T$29+$U$29),$V47*($U$29+$V$29),$W47*($V$29+$W$29),$Y47*($W$29+$Y$29),$Z47*($Y$29+$Z$29),$AA47*($Z$29+$AA$29),$AC47*($AA$29+$AC$29),$AD47*($AC$29+$AD$29),$AE47*($AD$29+$AE$29))*F$64/2/5/1000</f>
        <v>5.6787433076998912</v>
      </c>
      <c r="Q12" s="110">
        <f>SUM($H53*($G$29+$H$29),$J53*($H$29+$J$29),$K53*($J$29+$K$29),$L53*($K$29+$L$29),$N53*($L$29+$N$29),$O53*($N$29+$O$29),$P53*($O$29+$P$29),$Q53*($P$29+$Q$29),$R53*($Q$29+$R$29),$T53*($R$29+$T$29),$U53*($T$29+$U$29),$V53*($U$29+$V$29),$W53*($V$29+$W$29),$Y53*($W$29+$Y$29),$Z53*($Y$29+$Z$29),$AA53*($Z$29+$AA$29),$AC53*($AA$29+$AC$29),$AD53*($AC$29+$AD$29),$AE53*($AD$29+$AE$29))*$F$65/2/5/1000</f>
        <v>10.051139428665671</v>
      </c>
      <c r="R12" s="110">
        <f>H12*F$67/1000</f>
        <v>4.193946549535859</v>
      </c>
      <c r="S12" s="161"/>
      <c r="T12" s="110">
        <f>SUM(U12:W12)</f>
        <v>25.270032103344981</v>
      </c>
      <c r="U12" s="110">
        <f>O12*L$67</f>
        <v>16.42282634315541</v>
      </c>
      <c r="V12" s="110">
        <f t="shared" si="0"/>
        <v>5.7291494743394322</v>
      </c>
      <c r="W12" s="110">
        <f t="shared" si="0"/>
        <v>3.1180562858501357</v>
      </c>
      <c r="X12" s="161"/>
      <c r="Y12" s="110">
        <f>SUM(Z12:AA12)</f>
        <v>33.7961306796484</v>
      </c>
      <c r="Z12" s="110">
        <f>G12*H$67</f>
        <v>27.709384648179103</v>
      </c>
      <c r="AA12" s="110">
        <f>H12*J$67</f>
        <v>6.0867460314692998</v>
      </c>
      <c r="AB12" s="161"/>
      <c r="AC12" s="110">
        <f>SUM(AD12:AE12,AH12)</f>
        <v>6.381623296292771</v>
      </c>
      <c r="AD12" s="110">
        <f>SUMPRODUCT(G25:H25,IF($D$4="従来",G$62:H$62,IF($D$4="省力",G$63:H$63)))/5/1000</f>
        <v>2.4739478951143035</v>
      </c>
      <c r="AE12" s="110">
        <f>SUM(AF12:AG12)</f>
        <v>1.830937437355673</v>
      </c>
      <c r="AF12" s="110">
        <f>SUMPRODUCT(L47:R47,IF($D$4="従来",L$62:R$62,IF($D$4="省力",L$63:R$63)))/5/1000</f>
        <v>0.81614685362880002</v>
      </c>
      <c r="AG12" s="110">
        <f>V12/AK12</f>
        <v>1.0147905837268729</v>
      </c>
      <c r="AH12" s="110">
        <f>(U12+W12)/AJ12</f>
        <v>2.0767379638227945</v>
      </c>
      <c r="AJ12" s="159">
        <v>9.409411764705883</v>
      </c>
      <c r="AK12" s="159">
        <v>5.6456470588235295</v>
      </c>
    </row>
    <row r="13" spans="1:37" ht="14.1" customHeight="1">
      <c r="B13" s="105" t="s">
        <v>478</v>
      </c>
      <c r="D13" s="163">
        <v>1</v>
      </c>
      <c r="E13" s="161"/>
      <c r="F13" s="164">
        <f>SUM(G13:H13)</f>
        <v>94.080297266768426</v>
      </c>
      <c r="G13" s="164">
        <f>F42/5</f>
        <v>62.380407781428801</v>
      </c>
      <c r="H13" s="164">
        <f>AG25*F$66</f>
        <v>31.699889485339625</v>
      </c>
      <c r="I13" s="162"/>
      <c r="J13" s="165">
        <f>SUM(K13:L13)</f>
        <v>224.82264518966502</v>
      </c>
      <c r="K13" s="165">
        <f>F48/5</f>
        <v>100.42549261280003</v>
      </c>
      <c r="L13" s="165">
        <f>F54/5</f>
        <v>124.39715257686498</v>
      </c>
      <c r="M13" s="162"/>
      <c r="N13" s="164">
        <f>SUM(O13:R13)</f>
        <v>40.686654738201746</v>
      </c>
      <c r="O13" s="50">
        <f>SUM($H42*($G$29+$H$29),$J42*($H$29+$J$29),$K42*($J$29+$K$29),$L42*($K$29+$L$29),$N42*($L$29+$N$29),$O42*($N$29+$O$29),$P42*($O$29+$P$29),$Q42*($P$29+$Q$29),$R42*($Q$29+$R$29),$T42*($R$29+$T$29),$U42*($T$29+$U$29),$V42*($U$29+$V$29),$W42*($V$29+$W$29),$Y42*($W$29+$Y$29),$Z42*($Y$29+$Z$29),$AA42*($Z$29+$AA$29),$AC42*($AA$29+$AC$29),$AD42*($AC$29+$AD$29),$AE42*($AD$29+$AE$29))/2/5/1000</f>
        <v>25.026642721933595</v>
      </c>
      <c r="P13" s="50">
        <f>SUM($H48*($G$29+$H$29),$J48*($H$29+$J$29),$K48*($J$29+$K$29),$L48*($K$29+$L$29),$N48*($L$29+$N$29),$O48*($N$29+$O$29),$P48*($O$29+$P$29),$Q48*($P$29+$Q$29),$R48*($Q$29+$R$29),$T48*($R$29+$T$29),$U48*($T$29+$U$29),$V48*($U$29+$V$29),$W48*($V$29+$W$29),$Y48*($W$29+$Y$29),$Z48*($Y$29+$Z$29),$AA48*($Z$29+$AA$29),$AC48*($AA$29+$AC$29),$AD48*($AC$29+$AD$29),$AE48*($AD$29+$AE$29))*F$64/2/5/1000</f>
        <v>4.0635688573109539</v>
      </c>
      <c r="Q13" s="50">
        <f>SUM($H54*($G$29+$H$29),$J54*($H$29+$J$29),$K54*($J$29+$K$29),$L54*($K$29+$L$29),$N54*($L$29+$N$29),$O54*($N$29+$O$29),$P54*($O$29+$P$29),$Q54*($P$29+$Q$29),$R54*($Q$29+$R$29),$T54*($R$29+$T$29),$U54*($T$29+$U$29),$V54*($U$29+$V$29),$W54*($V$29+$W$29),$Y54*($W$29+$Y$29),$Z54*($Y$29+$Z$29),$AA54*($Z$29+$AA$29),$AC54*($AA$29+$AC$29),$AD54*($AC$29+$AD$29),$AE54*($AD$29+$AE$29))*$F$65/2/5/1000</f>
        <v>7.4120577468923683</v>
      </c>
      <c r="R13" s="50">
        <f>H13*F$67/1000</f>
        <v>4.1843854120648301</v>
      </c>
      <c r="S13" s="161"/>
      <c r="T13" s="50">
        <f>SUM(U13:W13)</f>
        <v>25.942276514837204</v>
      </c>
      <c r="U13" s="50">
        <f>O13*L$67</f>
        <v>18.606455693024181</v>
      </c>
      <c r="V13" s="50">
        <f t="shared" si="0"/>
        <v>4.2248729157286498</v>
      </c>
      <c r="W13" s="50">
        <f t="shared" si="0"/>
        <v>3.1109479060843714</v>
      </c>
      <c r="X13" s="161"/>
      <c r="Y13" s="50">
        <f>SUM(Z13:AA13)</f>
        <v>36.566916610116365</v>
      </c>
      <c r="Z13" s="50">
        <f>G13*H$67</f>
        <v>30.494046820242126</v>
      </c>
      <c r="AA13" s="50">
        <f>H13*J$67</f>
        <v>6.0728697898742432</v>
      </c>
      <c r="AB13" s="161"/>
      <c r="AC13" s="50">
        <f>SUM(AD13:AE13,AH13)</f>
        <v>5.834008527480357</v>
      </c>
      <c r="AD13" s="50">
        <f>SUMPRODUCT(G26:H26,IF($D$4="従来",G$62:H$62,IF($D$4="省力",G$63:H$63)))/5/1000</f>
        <v>2.6865563276353357</v>
      </c>
      <c r="AE13" s="50">
        <f>SUM(AF13:AG13)</f>
        <v>1.2256581173670387</v>
      </c>
      <c r="AF13" s="50">
        <f>SUMPRODUCT(L48:R48,IF($D$4="従来",L$62:R$62,IF($D$4="省力",L$63:R$63)))/5/1000</f>
        <v>0.60255295567680001</v>
      </c>
      <c r="AG13" s="50">
        <f>V13/AK13</f>
        <v>0.62310516169023866</v>
      </c>
      <c r="AH13" s="50">
        <f>(U13+W13)/AJ13</f>
        <v>1.9217940824779831</v>
      </c>
      <c r="AJ13" s="159">
        <v>11.300588235294118</v>
      </c>
      <c r="AK13" s="159">
        <v>6.7803529411764698</v>
      </c>
    </row>
    <row r="14" spans="1:37" ht="14.1" customHeight="1">
      <c r="E14" s="16"/>
      <c r="F14" s="137"/>
      <c r="G14" s="137"/>
      <c r="H14" s="137"/>
      <c r="I14" s="166"/>
      <c r="J14" s="137"/>
      <c r="K14" s="137"/>
      <c r="L14" s="137"/>
      <c r="M14" s="166"/>
      <c r="N14" s="137"/>
      <c r="S14" s="16"/>
      <c r="X14" s="16"/>
      <c r="AB14" s="16"/>
      <c r="AJ14" s="34"/>
      <c r="AK14" s="34"/>
    </row>
    <row r="15" spans="1:37" ht="14.1" customHeight="1">
      <c r="E15" s="16"/>
      <c r="F15" s="137" t="s">
        <v>479</v>
      </c>
      <c r="G15" s="137"/>
      <c r="H15" s="137"/>
      <c r="I15" s="166"/>
      <c r="J15" s="137"/>
      <c r="K15" s="137"/>
      <c r="L15" s="137"/>
      <c r="M15" s="166"/>
      <c r="N15" s="137"/>
      <c r="S15" s="16"/>
      <c r="X15" s="16"/>
      <c r="AB15" s="16"/>
      <c r="AJ15" s="34"/>
      <c r="AK15" s="34"/>
    </row>
    <row r="16" spans="1:37" ht="14.1" customHeight="1">
      <c r="B16" s="106" t="s">
        <v>504</v>
      </c>
      <c r="E16" s="16"/>
      <c r="F16" s="41">
        <f t="shared" ref="F16:H19" si="1">F10/F$10*100</f>
        <v>100</v>
      </c>
      <c r="G16" s="41">
        <f t="shared" si="1"/>
        <v>100</v>
      </c>
      <c r="H16" s="41">
        <f t="shared" si="1"/>
        <v>100</v>
      </c>
      <c r="I16" s="166"/>
      <c r="J16" s="41">
        <f t="shared" ref="J16:L19" si="2">J10/J$10*100</f>
        <v>100</v>
      </c>
      <c r="K16" s="41">
        <f t="shared" si="2"/>
        <v>100</v>
      </c>
      <c r="L16" s="41">
        <f t="shared" si="2"/>
        <v>100</v>
      </c>
      <c r="M16" s="166"/>
      <c r="N16" s="41">
        <f t="shared" ref="N16:R19" si="3">N10/N$10*100</f>
        <v>100</v>
      </c>
      <c r="O16" s="9">
        <f t="shared" si="3"/>
        <v>100</v>
      </c>
      <c r="P16" s="9">
        <f t="shared" si="3"/>
        <v>100</v>
      </c>
      <c r="Q16" s="9">
        <f t="shared" si="3"/>
        <v>100</v>
      </c>
      <c r="R16" s="9">
        <f t="shared" si="3"/>
        <v>100</v>
      </c>
      <c r="S16" s="16"/>
      <c r="T16" s="9">
        <f t="shared" ref="T16:W19" si="4">T10/T$10*100</f>
        <v>100</v>
      </c>
      <c r="U16" s="9">
        <f t="shared" si="4"/>
        <v>100</v>
      </c>
      <c r="V16" s="9">
        <f t="shared" si="4"/>
        <v>100</v>
      </c>
      <c r="W16" s="9">
        <f t="shared" si="4"/>
        <v>100</v>
      </c>
      <c r="X16" s="16"/>
      <c r="Y16" s="9">
        <f t="shared" ref="Y16:AA19" si="5">Y10/Y$10*100</f>
        <v>100</v>
      </c>
      <c r="Z16" s="9">
        <f t="shared" si="5"/>
        <v>100</v>
      </c>
      <c r="AA16" s="9">
        <f t="shared" si="5"/>
        <v>100</v>
      </c>
      <c r="AB16" s="16"/>
      <c r="AC16" s="9">
        <f t="shared" ref="AC16:AH19" si="6">AC10/AC$10*100</f>
        <v>100</v>
      </c>
      <c r="AD16" s="9">
        <f t="shared" si="6"/>
        <v>100</v>
      </c>
      <c r="AE16" s="9">
        <f t="shared" si="6"/>
        <v>100</v>
      </c>
      <c r="AF16" s="9">
        <f t="shared" si="6"/>
        <v>100</v>
      </c>
      <c r="AG16" s="9">
        <f t="shared" si="6"/>
        <v>100</v>
      </c>
      <c r="AH16" s="9">
        <f t="shared" si="6"/>
        <v>100</v>
      </c>
      <c r="AJ16" s="34"/>
      <c r="AK16" s="34"/>
    </row>
    <row r="17" spans="2:37" ht="14.1" customHeight="1">
      <c r="B17" s="106" t="s">
        <v>505</v>
      </c>
      <c r="E17" s="16"/>
      <c r="F17" s="41">
        <f t="shared" si="1"/>
        <v>114.44057736235197</v>
      </c>
      <c r="G17" s="41">
        <f t="shared" si="1"/>
        <v>125.43313603508686</v>
      </c>
      <c r="H17" s="41">
        <f t="shared" si="1"/>
        <v>100.89729392148863</v>
      </c>
      <c r="I17" s="166"/>
      <c r="J17" s="41">
        <f t="shared" si="2"/>
        <v>78.620818726953019</v>
      </c>
      <c r="K17" s="41">
        <f t="shared" si="2"/>
        <v>69.092358204364473</v>
      </c>
      <c r="L17" s="41">
        <f t="shared" si="2"/>
        <v>90.078888357969845</v>
      </c>
      <c r="M17" s="166"/>
      <c r="N17" s="41">
        <f t="shared" si="3"/>
        <v>101.7633895237191</v>
      </c>
      <c r="O17" s="9">
        <f t="shared" si="3"/>
        <v>131.7778105764919</v>
      </c>
      <c r="P17" s="9">
        <f t="shared" si="3"/>
        <v>73.072776072622958</v>
      </c>
      <c r="Q17" s="9">
        <f t="shared" si="3"/>
        <v>94.283852332964642</v>
      </c>
      <c r="R17" s="9">
        <f t="shared" si="3"/>
        <v>100.89729392148863</v>
      </c>
      <c r="S17" s="16"/>
      <c r="T17" s="9">
        <f t="shared" si="4"/>
        <v>113.91146802141444</v>
      </c>
      <c r="U17" s="9">
        <f t="shared" si="4"/>
        <v>131.7778105764919</v>
      </c>
      <c r="V17" s="9">
        <f t="shared" si="4"/>
        <v>94.283852332964656</v>
      </c>
      <c r="W17" s="9">
        <f t="shared" si="4"/>
        <v>100.89729392148863</v>
      </c>
      <c r="X17" s="16"/>
      <c r="Y17" s="9">
        <f t="shared" si="5"/>
        <v>119.51204823412729</v>
      </c>
      <c r="Z17" s="9">
        <f t="shared" si="5"/>
        <v>125.43313603508687</v>
      </c>
      <c r="AA17" s="9">
        <f t="shared" si="5"/>
        <v>100.89729392148863</v>
      </c>
      <c r="AB17" s="16"/>
      <c r="AC17" s="9">
        <f t="shared" si="6"/>
        <v>90.511460922481518</v>
      </c>
      <c r="AD17" s="9">
        <f t="shared" si="6"/>
        <v>115.25516000035272</v>
      </c>
      <c r="AE17" s="9">
        <f t="shared" si="6"/>
        <v>75.979449034738948</v>
      </c>
      <c r="AF17" s="9">
        <f t="shared" si="6"/>
        <v>69.092358204364459</v>
      </c>
      <c r="AG17" s="9">
        <f t="shared" si="6"/>
        <v>82.003991518076219</v>
      </c>
      <c r="AH17" s="9">
        <f t="shared" si="6"/>
        <v>92.943425065824158</v>
      </c>
      <c r="AJ17" s="34"/>
      <c r="AK17" s="34"/>
    </row>
    <row r="18" spans="2:37" ht="14.1" customHeight="1">
      <c r="B18" s="106" t="s">
        <v>477</v>
      </c>
      <c r="E18" s="16"/>
      <c r="F18" s="41">
        <f t="shared" si="1"/>
        <v>125.56417694197091</v>
      </c>
      <c r="G18" s="41">
        <f t="shared" si="1"/>
        <v>145.77202918524051</v>
      </c>
      <c r="H18" s="41">
        <f t="shared" si="1"/>
        <v>100.66727360858197</v>
      </c>
      <c r="I18" s="166"/>
      <c r="J18" s="41">
        <f t="shared" si="2"/>
        <v>59.281766787385706</v>
      </c>
      <c r="K18" s="41">
        <f t="shared" si="2"/>
        <v>48.223513259595556</v>
      </c>
      <c r="L18" s="41">
        <f t="shared" si="2"/>
        <v>72.579427896279597</v>
      </c>
      <c r="M18" s="166"/>
      <c r="N18" s="41">
        <f t="shared" si="3"/>
        <v>99.248028613339031</v>
      </c>
      <c r="O18" s="9">
        <f t="shared" si="3"/>
        <v>157.70384646594405</v>
      </c>
      <c r="P18" s="9">
        <f t="shared" si="3"/>
        <v>51.015697648617639</v>
      </c>
      <c r="Q18" s="9">
        <f t="shared" si="3"/>
        <v>77.154982977503821</v>
      </c>
      <c r="R18" s="9">
        <f t="shared" si="3"/>
        <v>100.66727360858197</v>
      </c>
      <c r="S18" s="16"/>
      <c r="T18" s="9">
        <f t="shared" si="4"/>
        <v>120.69782392738553</v>
      </c>
      <c r="U18" s="9">
        <f t="shared" si="4"/>
        <v>157.70384646594405</v>
      </c>
      <c r="V18" s="9">
        <f t="shared" si="4"/>
        <v>77.154982977503821</v>
      </c>
      <c r="W18" s="9">
        <f t="shared" si="4"/>
        <v>100.66727360858197</v>
      </c>
      <c r="X18" s="16"/>
      <c r="Y18" s="9">
        <f t="shared" si="5"/>
        <v>134.88716871158258</v>
      </c>
      <c r="Z18" s="9">
        <f t="shared" si="5"/>
        <v>145.77202918524051</v>
      </c>
      <c r="AA18" s="9">
        <f t="shared" si="5"/>
        <v>100.66727360858197</v>
      </c>
      <c r="AB18" s="16"/>
      <c r="AC18" s="9">
        <f t="shared" si="6"/>
        <v>80.405003103503461</v>
      </c>
      <c r="AD18" s="9">
        <f t="shared" si="6"/>
        <v>130.71158227276482</v>
      </c>
      <c r="AE18" s="9">
        <f t="shared" si="6"/>
        <v>50.478556685238274</v>
      </c>
      <c r="AF18" s="9">
        <f t="shared" si="6"/>
        <v>48.223513259595542</v>
      </c>
      <c r="AG18" s="9">
        <f t="shared" si="6"/>
        <v>52.451175495438598</v>
      </c>
      <c r="AH18" s="9">
        <f t="shared" si="6"/>
        <v>85.921678851355892</v>
      </c>
      <c r="AJ18" s="34"/>
      <c r="AK18" s="34"/>
    </row>
    <row r="19" spans="2:37" ht="14.1" customHeight="1">
      <c r="B19" s="106" t="s">
        <v>478</v>
      </c>
      <c r="C19" s="2"/>
      <c r="D19" s="2"/>
      <c r="E19" s="2"/>
      <c r="F19" s="41">
        <f t="shared" si="1"/>
        <v>133.54752742715186</v>
      </c>
      <c r="G19" s="41">
        <f t="shared" si="1"/>
        <v>160.42142903915175</v>
      </c>
      <c r="H19" s="41">
        <f t="shared" si="1"/>
        <v>100.43777768381588</v>
      </c>
      <c r="I19" s="136"/>
      <c r="J19" s="41">
        <f t="shared" si="2"/>
        <v>43.516369688543598</v>
      </c>
      <c r="K19" s="41">
        <f t="shared" si="2"/>
        <v>35.602931406881908</v>
      </c>
      <c r="L19" s="41">
        <f t="shared" si="2"/>
        <v>53.032358828350709</v>
      </c>
      <c r="M19" s="136"/>
      <c r="N19" s="41">
        <f t="shared" si="3"/>
        <v>96.113916006574911</v>
      </c>
      <c r="O19" s="9">
        <f t="shared" si="3"/>
        <v>178.67263347828168</v>
      </c>
      <c r="P19" s="9">
        <f t="shared" si="3"/>
        <v>36.505576844409461</v>
      </c>
      <c r="Q19" s="9">
        <f t="shared" si="3"/>
        <v>56.89675218898789</v>
      </c>
      <c r="R19" s="9">
        <f t="shared" si="3"/>
        <v>100.43777768381585</v>
      </c>
      <c r="S19" s="2"/>
      <c r="T19" s="9">
        <f t="shared" si="4"/>
        <v>123.9086800625353</v>
      </c>
      <c r="U19" s="9">
        <f t="shared" si="4"/>
        <v>178.67263347828168</v>
      </c>
      <c r="V19" s="9">
        <f t="shared" si="4"/>
        <v>56.89675218898789</v>
      </c>
      <c r="W19" s="9">
        <f t="shared" si="4"/>
        <v>100.43777768381588</v>
      </c>
      <c r="X19" s="2"/>
      <c r="Y19" s="9">
        <f t="shared" si="5"/>
        <v>145.94593377582632</v>
      </c>
      <c r="Z19" s="9">
        <f t="shared" si="5"/>
        <v>160.42142903915177</v>
      </c>
      <c r="AA19" s="9">
        <f t="shared" si="5"/>
        <v>100.43777768381588</v>
      </c>
      <c r="AB19" s="2"/>
      <c r="AC19" s="9">
        <f t="shared" si="6"/>
        <v>73.505353101995993</v>
      </c>
      <c r="AD19" s="9">
        <f t="shared" si="6"/>
        <v>141.94479566187402</v>
      </c>
      <c r="AE19" s="9">
        <f t="shared" si="6"/>
        <v>33.791134252838965</v>
      </c>
      <c r="AF19" s="9">
        <f t="shared" si="6"/>
        <v>35.602931406881901</v>
      </c>
      <c r="AG19" s="9">
        <f t="shared" si="6"/>
        <v>32.206248966067221</v>
      </c>
      <c r="AH19" s="10">
        <f t="shared" si="6"/>
        <v>79.511126030149086</v>
      </c>
      <c r="AJ19" s="34"/>
      <c r="AK19" s="34"/>
    </row>
    <row r="20" spans="2:37" ht="14.1" customHeight="1">
      <c r="B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  <c r="AJ20" s="34"/>
      <c r="AK20" s="34"/>
    </row>
    <row r="21" spans="2:37" ht="14.1" customHeight="1">
      <c r="B21" s="5"/>
      <c r="C21" s="2"/>
      <c r="D21" s="2"/>
      <c r="E21" s="2"/>
      <c r="F21" s="29" t="s">
        <v>506</v>
      </c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G21" s="8" t="s">
        <v>507</v>
      </c>
      <c r="AJ21" s="34"/>
      <c r="AK21" s="34"/>
    </row>
    <row r="22" spans="2:37" ht="14.1" customHeight="1">
      <c r="B22" s="5" t="s">
        <v>508</v>
      </c>
      <c r="C22" s="86"/>
      <c r="D22" s="86"/>
      <c r="E22" s="86"/>
      <c r="F22" s="5" t="s">
        <v>509</v>
      </c>
      <c r="G22" s="5" t="s">
        <v>373</v>
      </c>
      <c r="H22" s="5">
        <v>2</v>
      </c>
      <c r="I22" s="5"/>
      <c r="J22" s="5">
        <v>3</v>
      </c>
      <c r="K22" s="5">
        <v>4</v>
      </c>
      <c r="L22" s="5">
        <v>5</v>
      </c>
      <c r="M22" s="5"/>
      <c r="N22" s="5">
        <v>6</v>
      </c>
      <c r="O22" s="5">
        <v>7</v>
      </c>
      <c r="P22" s="5">
        <v>8</v>
      </c>
      <c r="Q22" s="5">
        <v>9</v>
      </c>
      <c r="R22" s="5">
        <v>10</v>
      </c>
      <c r="S22" s="5"/>
      <c r="T22" s="5">
        <v>11</v>
      </c>
      <c r="U22" s="5">
        <v>12</v>
      </c>
      <c r="V22" s="5">
        <v>13</v>
      </c>
      <c r="W22" s="5">
        <v>14</v>
      </c>
      <c r="X22" s="5"/>
      <c r="Y22" s="5">
        <v>15</v>
      </c>
      <c r="Z22" s="5">
        <v>16</v>
      </c>
      <c r="AA22" s="5">
        <v>17</v>
      </c>
      <c r="AB22" s="5"/>
      <c r="AC22" s="5">
        <v>18</v>
      </c>
      <c r="AD22" s="5">
        <v>19</v>
      </c>
      <c r="AE22" s="122" t="s">
        <v>510</v>
      </c>
      <c r="AG22" s="5" t="s">
        <v>511</v>
      </c>
      <c r="AJ22" s="34"/>
      <c r="AK22" s="34"/>
    </row>
    <row r="23" spans="2:37" ht="14.1" customHeight="1">
      <c r="B23" s="8">
        <v>2015</v>
      </c>
      <c r="F23" s="9">
        <f>SUM(G23:AE23)</f>
        <v>10342.3419624</v>
      </c>
      <c r="G23" s="9">
        <v>125.12</v>
      </c>
      <c r="H23" s="9">
        <v>152.846</v>
      </c>
      <c r="I23" s="9"/>
      <c r="J23" s="9">
        <v>155.81800000000001</v>
      </c>
      <c r="K23" s="9">
        <v>187.87464800000004</v>
      </c>
      <c r="L23" s="9">
        <v>275.09533120000003</v>
      </c>
      <c r="M23" s="9"/>
      <c r="N23" s="9">
        <v>441.60016720000004</v>
      </c>
      <c r="O23" s="9">
        <v>688.91927360000011</v>
      </c>
      <c r="P23" s="9">
        <v>952.68393360000005</v>
      </c>
      <c r="Q23" s="9">
        <v>1283.0745584000001</v>
      </c>
      <c r="R23" s="9">
        <v>1569.2706584000002</v>
      </c>
      <c r="S23" s="9"/>
      <c r="T23" s="9">
        <v>1543.0973488</v>
      </c>
      <c r="U23" s="9">
        <v>1229.1642455999997</v>
      </c>
      <c r="V23" s="9">
        <v>679.21071119999999</v>
      </c>
      <c r="W23" s="9">
        <v>281.75239600000003</v>
      </c>
      <c r="X23" s="9"/>
      <c r="Y23" s="9">
        <v>180.00878799999998</v>
      </c>
      <c r="Z23" s="9">
        <v>152.03903999999997</v>
      </c>
      <c r="AA23" s="9">
        <v>123.28037839999999</v>
      </c>
      <c r="AB23" s="9"/>
      <c r="AC23" s="9">
        <v>97.053370399999991</v>
      </c>
      <c r="AD23" s="9">
        <v>120.86067680000001</v>
      </c>
      <c r="AE23" s="9">
        <v>103.57243680000002</v>
      </c>
      <c r="AG23" s="9">
        <v>13380.111302381201</v>
      </c>
      <c r="AJ23" s="34"/>
      <c r="AK23" s="34"/>
    </row>
    <row r="24" spans="2:37" ht="14.1" customHeight="1">
      <c r="B24" s="8">
        <v>2020</v>
      </c>
      <c r="F24" s="9">
        <f>SUM(G24:AE24)</f>
        <v>10248.185881111156</v>
      </c>
      <c r="G24" s="9">
        <f>Y11*5</f>
        <v>149.71938541275725</v>
      </c>
      <c r="H24" s="9">
        <f>G23-H40</f>
        <v>125.12</v>
      </c>
      <c r="I24" s="9"/>
      <c r="J24" s="9">
        <f>H23-J40</f>
        <v>152.846</v>
      </c>
      <c r="K24" s="9">
        <f t="shared" ref="K24:L26" si="7">J23-K40</f>
        <v>155.81800000000001</v>
      </c>
      <c r="L24" s="9">
        <f t="shared" si="7"/>
        <v>187.87464800000004</v>
      </c>
      <c r="M24" s="9"/>
      <c r="N24" s="9">
        <f>L23-N40</f>
        <v>275.09533120000003</v>
      </c>
      <c r="O24" s="9">
        <f t="shared" ref="O24:R26" si="8">N23-O40</f>
        <v>441.60016720000004</v>
      </c>
      <c r="P24" s="9">
        <f t="shared" si="8"/>
        <v>688.91927360000011</v>
      </c>
      <c r="Q24" s="9">
        <f t="shared" si="8"/>
        <v>952.68393360000005</v>
      </c>
      <c r="R24" s="9">
        <f t="shared" si="8"/>
        <v>1250.99769444</v>
      </c>
      <c r="S24" s="9"/>
      <c r="T24" s="9">
        <f>R23-T40</f>
        <v>1530.0388919400002</v>
      </c>
      <c r="U24" s="9">
        <f t="shared" ref="U24:W26" si="9">T23-U40</f>
        <v>1492.1751362896</v>
      </c>
      <c r="V24" s="9">
        <f t="shared" si="9"/>
        <v>1178.7685115303998</v>
      </c>
      <c r="W24" s="9">
        <f t="shared" si="9"/>
        <v>651.36307204080003</v>
      </c>
      <c r="X24" s="9"/>
      <c r="Y24" s="9">
        <f>W23-Y40</f>
        <v>270.20054776400002</v>
      </c>
      <c r="Z24" s="9">
        <f t="shared" ref="Z24:AA26" si="10">Y23-Z40</f>
        <v>172.62842769199997</v>
      </c>
      <c r="AA24" s="9">
        <f t="shared" si="10"/>
        <v>145.80543935999998</v>
      </c>
      <c r="AB24" s="9"/>
      <c r="AC24" s="9">
        <f>AA23-AC40</f>
        <v>118.22588288559999</v>
      </c>
      <c r="AD24" s="9">
        <f>AC23-AD40</f>
        <v>93.074182213599997</v>
      </c>
      <c r="AE24" s="9">
        <f>AD23+AE23-AE40</f>
        <v>215.2313559424</v>
      </c>
      <c r="AG24" s="9">
        <f>AG23-AA11*5</f>
        <v>13349.608032482856</v>
      </c>
      <c r="AJ24" s="34"/>
      <c r="AK24" s="34"/>
    </row>
    <row r="25" spans="2:37" ht="14.1" customHeight="1">
      <c r="B25" s="8">
        <v>2025</v>
      </c>
      <c r="F25" s="9">
        <f>SUM(G25:AE25)</f>
        <v>10133.746835589924</v>
      </c>
      <c r="G25" s="9">
        <f>Y12*5</f>
        <v>168.980653398242</v>
      </c>
      <c r="H25" s="9">
        <f>G24-H41</f>
        <v>149.71938541275725</v>
      </c>
      <c r="I25" s="9"/>
      <c r="J25" s="9">
        <f>H24-J41</f>
        <v>125.12</v>
      </c>
      <c r="K25" s="9">
        <f t="shared" si="7"/>
        <v>152.846</v>
      </c>
      <c r="L25" s="9">
        <f t="shared" si="7"/>
        <v>155.81800000000001</v>
      </c>
      <c r="M25" s="9"/>
      <c r="N25" s="9">
        <f>L24-N41</f>
        <v>187.87464800000004</v>
      </c>
      <c r="O25" s="9">
        <f t="shared" si="8"/>
        <v>275.09533120000003</v>
      </c>
      <c r="P25" s="9">
        <f t="shared" si="8"/>
        <v>441.60016720000004</v>
      </c>
      <c r="Q25" s="9">
        <f t="shared" si="8"/>
        <v>688.91927360000011</v>
      </c>
      <c r="R25" s="9">
        <f t="shared" si="8"/>
        <v>928.86683526000002</v>
      </c>
      <c r="S25" s="9"/>
      <c r="T25" s="9">
        <f>R24-T41</f>
        <v>1219.722752079</v>
      </c>
      <c r="U25" s="9">
        <f t="shared" si="9"/>
        <v>1479.5476085059802</v>
      </c>
      <c r="V25" s="9">
        <f t="shared" si="9"/>
        <v>1430.9959557017264</v>
      </c>
      <c r="W25" s="9">
        <f t="shared" si="9"/>
        <v>1130.4390025576533</v>
      </c>
      <c r="X25" s="9"/>
      <c r="Y25" s="9">
        <f>W24-Y41</f>
        <v>624.65718608712723</v>
      </c>
      <c r="Z25" s="9">
        <f t="shared" si="10"/>
        <v>259.12232530567604</v>
      </c>
      <c r="AA25" s="9">
        <f t="shared" si="10"/>
        <v>165.55066215662796</v>
      </c>
      <c r="AB25" s="9"/>
      <c r="AC25" s="9">
        <f>AA24-AC41</f>
        <v>139.82741634623997</v>
      </c>
      <c r="AD25" s="9">
        <f>AC24-AD41</f>
        <v>113.37862168729039</v>
      </c>
      <c r="AE25" s="9">
        <f>AD24+AE24-AE41</f>
        <v>295.66501109160401</v>
      </c>
      <c r="AG25" s="9">
        <f>AG24-AA12*5</f>
        <v>13319.174302325509</v>
      </c>
      <c r="AJ25" s="34"/>
      <c r="AK25" s="34"/>
    </row>
    <row r="26" spans="2:37" ht="13.5" customHeight="1">
      <c r="B26" s="8">
        <v>2030</v>
      </c>
      <c r="F26" s="9">
        <f>SUM(G26:AE26)</f>
        <v>10004.679379733365</v>
      </c>
      <c r="G26" s="9">
        <f>Y13*5</f>
        <v>182.83458305058184</v>
      </c>
      <c r="H26" s="9">
        <f>G25-H42</f>
        <v>168.980653398242</v>
      </c>
      <c r="I26" s="9"/>
      <c r="J26" s="9">
        <f>H25-J42</f>
        <v>149.71938541275725</v>
      </c>
      <c r="K26" s="9">
        <f t="shared" si="7"/>
        <v>125.12</v>
      </c>
      <c r="L26" s="9">
        <f t="shared" si="7"/>
        <v>152.846</v>
      </c>
      <c r="M26" s="9"/>
      <c r="N26" s="9">
        <f>L25-N42</f>
        <v>155.81800000000001</v>
      </c>
      <c r="O26" s="9">
        <f t="shared" si="8"/>
        <v>187.87464800000004</v>
      </c>
      <c r="P26" s="9">
        <f t="shared" si="8"/>
        <v>275.09533120000003</v>
      </c>
      <c r="Q26" s="9">
        <f t="shared" si="8"/>
        <v>441.60016720000004</v>
      </c>
      <c r="R26" s="9">
        <f t="shared" si="8"/>
        <v>671.69629176000012</v>
      </c>
      <c r="S26" s="9"/>
      <c r="T26" s="9">
        <f>R25-T42</f>
        <v>905.6451643785</v>
      </c>
      <c r="U26" s="9">
        <f t="shared" si="9"/>
        <v>1179.471901260393</v>
      </c>
      <c r="V26" s="9">
        <f t="shared" si="9"/>
        <v>1418.8861565572349</v>
      </c>
      <c r="W26" s="9">
        <f t="shared" si="9"/>
        <v>1372.3251215179557</v>
      </c>
      <c r="X26" s="9"/>
      <c r="Y26" s="9">
        <f>W25-Y42</f>
        <v>1084.0910034527897</v>
      </c>
      <c r="Z26" s="9">
        <f t="shared" si="10"/>
        <v>599.04624145755497</v>
      </c>
      <c r="AA26" s="9">
        <f t="shared" si="10"/>
        <v>248.49830996814333</v>
      </c>
      <c r="AB26" s="9"/>
      <c r="AC26" s="9">
        <f>AA25-AC42</f>
        <v>158.76308500820622</v>
      </c>
      <c r="AD26" s="9">
        <f>AC25-AD42</f>
        <v>134.09449227604412</v>
      </c>
      <c r="AE26" s="9">
        <f>AD25+AE25-AE42</f>
        <v>392.2728438349597</v>
      </c>
      <c r="AF26" s="16"/>
      <c r="AG26" s="9">
        <f>AG25-AA13*5</f>
        <v>13288.809953376138</v>
      </c>
      <c r="AJ26" s="34"/>
      <c r="AK26" s="34"/>
    </row>
    <row r="27" spans="2:37" ht="14.1" customHeight="1"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6"/>
      <c r="AG27" s="131"/>
      <c r="AJ27" s="34"/>
      <c r="AK27" s="34"/>
    </row>
    <row r="28" spans="2:37" ht="14.1" customHeight="1">
      <c r="B28" s="2" t="s">
        <v>676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J28" s="34"/>
      <c r="AK28" s="34"/>
    </row>
    <row r="29" spans="2:37" ht="14.1" customHeight="1">
      <c r="B29" s="2"/>
      <c r="C29" s="2"/>
      <c r="D29" s="2"/>
      <c r="E29" s="2"/>
      <c r="F29" s="10"/>
      <c r="G29" s="10">
        <v>2.5418159173657018</v>
      </c>
      <c r="H29" s="10">
        <v>19.218561545119258</v>
      </c>
      <c r="I29" s="10"/>
      <c r="J29" s="10">
        <v>59.444086449388855</v>
      </c>
      <c r="K29" s="10">
        <v>101.70554101675621</v>
      </c>
      <c r="L29" s="10">
        <v>142.42039829131841</v>
      </c>
      <c r="M29" s="10"/>
      <c r="N29" s="10">
        <v>184.11789616923113</v>
      </c>
      <c r="O29" s="10">
        <v>225.67870510384969</v>
      </c>
      <c r="P29" s="10">
        <v>265.8357076285314</v>
      </c>
      <c r="Q29" s="10">
        <v>300.60734949120643</v>
      </c>
      <c r="R29" s="10">
        <v>327.38597497518919</v>
      </c>
      <c r="S29" s="10"/>
      <c r="T29" s="10">
        <v>352.81287703595541</v>
      </c>
      <c r="U29" s="10">
        <v>377.04846730620136</v>
      </c>
      <c r="V29" s="10">
        <v>401.04600296498791</v>
      </c>
      <c r="W29" s="10">
        <v>427.85009027580855</v>
      </c>
      <c r="X29" s="10"/>
      <c r="Y29" s="10">
        <v>443.15125803055139</v>
      </c>
      <c r="Z29" s="10">
        <v>443.15125803055139</v>
      </c>
      <c r="AA29" s="10">
        <v>443.15125803055139</v>
      </c>
      <c r="AB29" s="10"/>
      <c r="AC29" s="10">
        <v>443.15125803055139</v>
      </c>
      <c r="AD29" s="10">
        <v>443.15125803055139</v>
      </c>
      <c r="AE29" s="10">
        <v>443.15125803055139</v>
      </c>
      <c r="AJ29" s="34"/>
      <c r="AK29" s="34"/>
    </row>
    <row r="30" spans="2:37" ht="14.1" customHeight="1">
      <c r="B30" s="16"/>
      <c r="C30" s="16"/>
      <c r="D30" s="16"/>
      <c r="E30" s="16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J30" s="34"/>
      <c r="AK30" s="34"/>
    </row>
    <row r="31" spans="2:37" ht="14.1" customHeight="1">
      <c r="B31" t="s">
        <v>512</v>
      </c>
      <c r="AJ31" s="34"/>
      <c r="AK31" s="34"/>
    </row>
    <row r="32" spans="2:37" ht="14.1" customHeight="1">
      <c r="B32" t="s">
        <v>513</v>
      </c>
      <c r="AJ32" s="34"/>
      <c r="AK32" s="34"/>
    </row>
    <row r="33" spans="1:37" ht="14.1" customHeight="1">
      <c r="B33" t="s">
        <v>514</v>
      </c>
      <c r="AJ33" s="34"/>
      <c r="AK33" s="34"/>
    </row>
    <row r="34" spans="1:37">
      <c r="B34" t="s">
        <v>515</v>
      </c>
      <c r="AJ34" s="34"/>
      <c r="AK34" s="34"/>
    </row>
    <row r="35" spans="1:37">
      <c r="AJ35" s="34"/>
      <c r="AK35" s="34"/>
    </row>
    <row r="36" spans="1:37" hidden="1">
      <c r="A36" s="153" t="s">
        <v>516</v>
      </c>
      <c r="B36" s="34" t="s">
        <v>517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</row>
    <row r="37" spans="1:37" hidden="1">
      <c r="A37" s="34"/>
      <c r="B37" s="156"/>
      <c r="C37" s="156"/>
      <c r="D37" s="156"/>
      <c r="E37" s="156"/>
      <c r="F37" s="156" t="s">
        <v>518</v>
      </c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34"/>
      <c r="AG37" s="34"/>
      <c r="AH37" s="34"/>
      <c r="AI37" s="34"/>
      <c r="AJ37" s="34"/>
      <c r="AK37" s="34"/>
    </row>
    <row r="38" spans="1:37" ht="14.1" hidden="1" customHeight="1">
      <c r="A38" s="34"/>
      <c r="B38" s="167" t="s">
        <v>519</v>
      </c>
      <c r="C38" s="168"/>
      <c r="D38" s="168"/>
      <c r="E38" s="156"/>
      <c r="F38" s="169" t="s">
        <v>372</v>
      </c>
      <c r="G38" s="169" t="s">
        <v>373</v>
      </c>
      <c r="H38" s="169">
        <v>2</v>
      </c>
      <c r="I38" s="169"/>
      <c r="J38" s="169">
        <v>3</v>
      </c>
      <c r="K38" s="169">
        <v>4</v>
      </c>
      <c r="L38" s="169">
        <v>5</v>
      </c>
      <c r="M38" s="169"/>
      <c r="N38" s="169">
        <v>6</v>
      </c>
      <c r="O38" s="169">
        <v>7</v>
      </c>
      <c r="P38" s="169">
        <v>8</v>
      </c>
      <c r="Q38" s="169">
        <v>9</v>
      </c>
      <c r="R38" s="169">
        <v>10</v>
      </c>
      <c r="S38" s="169"/>
      <c r="T38" s="169">
        <v>11</v>
      </c>
      <c r="U38" s="169">
        <v>12</v>
      </c>
      <c r="V38" s="169">
        <v>13</v>
      </c>
      <c r="W38" s="169">
        <v>14</v>
      </c>
      <c r="X38" s="169"/>
      <c r="Y38" s="169">
        <v>15</v>
      </c>
      <c r="Z38" s="169">
        <v>16</v>
      </c>
      <c r="AA38" s="169">
        <v>17</v>
      </c>
      <c r="AB38" s="169"/>
      <c r="AC38" s="169">
        <v>18</v>
      </c>
      <c r="AD38" s="169">
        <v>19</v>
      </c>
      <c r="AE38" s="169" t="s">
        <v>510</v>
      </c>
      <c r="AF38" s="34"/>
      <c r="AG38" s="34"/>
      <c r="AH38" s="34"/>
      <c r="AI38" s="34"/>
      <c r="AJ38" s="34"/>
      <c r="AK38" s="34"/>
    </row>
    <row r="39" spans="1:37" ht="14.1" hidden="1" customHeight="1">
      <c r="A39" s="34"/>
      <c r="B39" s="170" t="s">
        <v>520</v>
      </c>
      <c r="C39" s="34"/>
      <c r="D39" s="34"/>
      <c r="E39" s="34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4"/>
      <c r="AG39" s="34"/>
      <c r="AH39" s="34"/>
      <c r="AI39" s="34"/>
      <c r="AJ39" s="34"/>
      <c r="AK39" s="34"/>
    </row>
    <row r="40" spans="1:37" ht="14.1" hidden="1" customHeight="1">
      <c r="A40" s="34"/>
      <c r="B40" s="171" t="s">
        <v>476</v>
      </c>
      <c r="C40" s="34"/>
      <c r="D40" s="34"/>
      <c r="E40" s="34"/>
      <c r="F40" s="172">
        <f>SUM(G40:AE40)</f>
        <v>243.87546670160003</v>
      </c>
      <c r="G40" s="172">
        <f t="shared" ref="G40:H42" si="11">F23*G$59*$D11*5</f>
        <v>0</v>
      </c>
      <c r="H40" s="172">
        <f t="shared" si="11"/>
        <v>0</v>
      </c>
      <c r="I40" s="172"/>
      <c r="J40" s="172">
        <f>H23*J$59*$D11*5</f>
        <v>0</v>
      </c>
      <c r="K40" s="172">
        <f t="shared" ref="K40:L42" si="12">J23*K$59*$D11*5</f>
        <v>0</v>
      </c>
      <c r="L40" s="172">
        <f t="shared" si="12"/>
        <v>0</v>
      </c>
      <c r="M40" s="172"/>
      <c r="N40" s="172">
        <f>L23*N$59*$D11*5</f>
        <v>0</v>
      </c>
      <c r="O40" s="172">
        <f t="shared" ref="O40:R42" si="13">N23*O$59*$D11*5</f>
        <v>0</v>
      </c>
      <c r="P40" s="172">
        <f t="shared" si="13"/>
        <v>0</v>
      </c>
      <c r="Q40" s="172">
        <f t="shared" si="13"/>
        <v>0</v>
      </c>
      <c r="R40" s="172">
        <f t="shared" si="13"/>
        <v>32.076863960000004</v>
      </c>
      <c r="S40" s="172"/>
      <c r="T40" s="172">
        <f>R23*T$59*$D11*5</f>
        <v>39.23176646000001</v>
      </c>
      <c r="U40" s="172">
        <f t="shared" ref="U40:W42" si="14">T23*U$59*$D11*5</f>
        <v>50.922212510400001</v>
      </c>
      <c r="V40" s="172">
        <f t="shared" si="14"/>
        <v>50.395734069599989</v>
      </c>
      <c r="W40" s="172">
        <f t="shared" si="14"/>
        <v>27.8476391592</v>
      </c>
      <c r="X40" s="172"/>
      <c r="Y40" s="172">
        <f>W23*Y$59*$D11*5</f>
        <v>11.551848236000001</v>
      </c>
      <c r="Z40" s="172">
        <f t="shared" ref="Z40:AA42" si="15">Y23*Z$59*$D11*5</f>
        <v>7.3803603080000002</v>
      </c>
      <c r="AA40" s="172">
        <f t="shared" si="15"/>
        <v>6.2336006399999988</v>
      </c>
      <c r="AB40" s="172"/>
      <c r="AC40" s="172">
        <f>AA23*AC$59*$D11*5</f>
        <v>5.0544955144000001</v>
      </c>
      <c r="AD40" s="172">
        <f>AC23*AD$59*$D11*5</f>
        <v>3.9791881864</v>
      </c>
      <c r="AE40" s="172">
        <f>(AD23+AE23)*AE$59*$D11*5</f>
        <v>9.2017576576000017</v>
      </c>
      <c r="AF40" s="34"/>
      <c r="AG40" s="34"/>
      <c r="AH40" s="34"/>
      <c r="AI40" s="34"/>
      <c r="AJ40" s="34"/>
      <c r="AK40" s="34"/>
    </row>
    <row r="41" spans="1:37" ht="14.1" hidden="1" customHeight="1">
      <c r="A41" s="34"/>
      <c r="B41" s="171" t="s">
        <v>477</v>
      </c>
      <c r="C41" s="34"/>
      <c r="D41" s="34"/>
      <c r="E41" s="34"/>
      <c r="F41" s="172">
        <f>SUM(G41:AE41)</f>
        <v>283.41969891947434</v>
      </c>
      <c r="G41" s="172">
        <f t="shared" si="11"/>
        <v>0</v>
      </c>
      <c r="H41" s="172">
        <f t="shared" si="11"/>
        <v>0</v>
      </c>
      <c r="I41" s="172"/>
      <c r="J41" s="172">
        <f>H24*J$59*$D12*5</f>
        <v>0</v>
      </c>
      <c r="K41" s="172">
        <f t="shared" si="12"/>
        <v>0</v>
      </c>
      <c r="L41" s="172">
        <f t="shared" si="12"/>
        <v>0</v>
      </c>
      <c r="M41" s="172"/>
      <c r="N41" s="172">
        <f>L24*N$59*$D12*5</f>
        <v>0</v>
      </c>
      <c r="O41" s="172">
        <f t="shared" si="13"/>
        <v>0</v>
      </c>
      <c r="P41" s="172">
        <f t="shared" si="13"/>
        <v>0</v>
      </c>
      <c r="Q41" s="172">
        <f t="shared" si="13"/>
        <v>0</v>
      </c>
      <c r="R41" s="172">
        <f t="shared" si="13"/>
        <v>23.817098340000001</v>
      </c>
      <c r="S41" s="172"/>
      <c r="T41" s="172">
        <f>R24*T$59*$D12*5</f>
        <v>31.274942361000001</v>
      </c>
      <c r="U41" s="172">
        <f t="shared" si="14"/>
        <v>50.491283434020005</v>
      </c>
      <c r="V41" s="172">
        <f t="shared" si="14"/>
        <v>61.179180587873603</v>
      </c>
      <c r="W41" s="172">
        <f t="shared" si="14"/>
        <v>48.329508972746396</v>
      </c>
      <c r="X41" s="172"/>
      <c r="Y41" s="172">
        <f>W24*Y$59*$D12*5</f>
        <v>26.705885953672805</v>
      </c>
      <c r="Z41" s="172">
        <f t="shared" si="15"/>
        <v>11.078222458324001</v>
      </c>
      <c r="AA41" s="172">
        <f t="shared" si="15"/>
        <v>7.0777655353719995</v>
      </c>
      <c r="AB41" s="172"/>
      <c r="AC41" s="172">
        <f>AA24*AC$59*$D12*5</f>
        <v>5.9780230137599997</v>
      </c>
      <c r="AD41" s="172">
        <f>AC24*AD$59*$D12*5</f>
        <v>4.8472611983095995</v>
      </c>
      <c r="AE41" s="172">
        <f>(AD24+AE24)*AE$59*$D12*5</f>
        <v>12.640527064396</v>
      </c>
      <c r="AF41" s="34"/>
      <c r="AG41" s="34"/>
      <c r="AH41" s="34"/>
      <c r="AI41" s="34"/>
      <c r="AJ41" s="34"/>
      <c r="AK41" s="34"/>
    </row>
    <row r="42" spans="1:37" ht="14.1" hidden="1" customHeight="1">
      <c r="A42" s="34"/>
      <c r="B42" s="171" t="s">
        <v>478</v>
      </c>
      <c r="C42" s="34"/>
      <c r="D42" s="34"/>
      <c r="E42" s="34"/>
      <c r="F42" s="172">
        <f>SUM(G42:AE42)</f>
        <v>311.902038907144</v>
      </c>
      <c r="G42" s="172">
        <f t="shared" si="11"/>
        <v>0</v>
      </c>
      <c r="H42" s="172">
        <f t="shared" si="11"/>
        <v>0</v>
      </c>
      <c r="I42" s="172"/>
      <c r="J42" s="172">
        <f>H25*J$59*$D13*5</f>
        <v>0</v>
      </c>
      <c r="K42" s="172">
        <f t="shared" si="12"/>
        <v>0</v>
      </c>
      <c r="L42" s="172">
        <f t="shared" si="12"/>
        <v>0</v>
      </c>
      <c r="M42" s="172"/>
      <c r="N42" s="172">
        <f>L25*N$59*$D13*5</f>
        <v>0</v>
      </c>
      <c r="O42" s="172">
        <f t="shared" si="13"/>
        <v>0</v>
      </c>
      <c r="P42" s="172">
        <f t="shared" si="13"/>
        <v>0</v>
      </c>
      <c r="Q42" s="172">
        <f t="shared" si="13"/>
        <v>0</v>
      </c>
      <c r="R42" s="172">
        <f t="shared" si="13"/>
        <v>17.222981840000003</v>
      </c>
      <c r="S42" s="172"/>
      <c r="T42" s="172">
        <f>R25*T$59*$D13*5</f>
        <v>23.2216708815</v>
      </c>
      <c r="U42" s="172">
        <f t="shared" si="14"/>
        <v>40.250850818607006</v>
      </c>
      <c r="V42" s="172">
        <f t="shared" si="14"/>
        <v>60.661451948745189</v>
      </c>
      <c r="W42" s="172">
        <f t="shared" si="14"/>
        <v>58.670834183770786</v>
      </c>
      <c r="X42" s="172"/>
      <c r="Y42" s="172">
        <f>W25*Y$59*$D13*5</f>
        <v>46.347999104863788</v>
      </c>
      <c r="Z42" s="172">
        <f t="shared" si="15"/>
        <v>25.610944629572217</v>
      </c>
      <c r="AA42" s="172">
        <f t="shared" si="15"/>
        <v>10.62401533753272</v>
      </c>
      <c r="AB42" s="172"/>
      <c r="AC42" s="172">
        <f>AA25*AC$59*$D13*5</f>
        <v>6.7875771484217475</v>
      </c>
      <c r="AD42" s="172">
        <f>AC25*AD$59*$D13*5</f>
        <v>5.7329240701958391</v>
      </c>
      <c r="AE42" s="172">
        <f>(AD25+AE25)*AE$59*$D13*5</f>
        <v>16.770788943934672</v>
      </c>
      <c r="AF42" s="34"/>
      <c r="AG42" s="34"/>
      <c r="AH42" s="34"/>
      <c r="AI42" s="34"/>
      <c r="AJ42" s="34"/>
      <c r="AK42" s="34"/>
    </row>
    <row r="43" spans="1:37" ht="14.1" hidden="1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</row>
    <row r="44" spans="1:37" ht="14.1" hidden="1" customHeight="1">
      <c r="A44" s="34"/>
      <c r="B44" s="156"/>
      <c r="C44" s="156"/>
      <c r="D44" s="156"/>
      <c r="E44" s="156"/>
      <c r="F44" s="156" t="s">
        <v>521</v>
      </c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56"/>
      <c r="U44" s="156"/>
      <c r="V44" s="156"/>
      <c r="W44" s="156"/>
      <c r="X44" s="156"/>
      <c r="Y44" s="156"/>
      <c r="Z44" s="156"/>
      <c r="AA44" s="156"/>
      <c r="AB44" s="156"/>
      <c r="AC44" s="156"/>
      <c r="AD44" s="156"/>
      <c r="AE44" s="156"/>
      <c r="AF44" s="34"/>
      <c r="AG44" s="34"/>
      <c r="AH44" s="34"/>
      <c r="AI44" s="34"/>
      <c r="AJ44" s="34"/>
      <c r="AK44" s="34"/>
    </row>
    <row r="45" spans="1:37" ht="14.1" hidden="1" customHeight="1">
      <c r="A45" s="34"/>
      <c r="B45" s="170" t="s">
        <v>520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</row>
    <row r="46" spans="1:37" ht="14.1" hidden="1" customHeight="1">
      <c r="A46" s="34"/>
      <c r="B46" s="171" t="s">
        <v>476</v>
      </c>
      <c r="C46" s="34"/>
      <c r="D46" s="34"/>
      <c r="E46" s="34"/>
      <c r="F46" s="172">
        <f>SUM(G46:AE46)</f>
        <v>974.44702363920032</v>
      </c>
      <c r="G46" s="172">
        <f t="shared" ref="G46:H48" si="16">F23*G$60*5</f>
        <v>0</v>
      </c>
      <c r="H46" s="172">
        <f t="shared" si="16"/>
        <v>0</v>
      </c>
      <c r="I46" s="172"/>
      <c r="J46" s="172">
        <f>H23*J$60*5</f>
        <v>0</v>
      </c>
      <c r="K46" s="172">
        <f t="shared" ref="K46:L48" si="17">J23*K$60*5</f>
        <v>0</v>
      </c>
      <c r="L46" s="172">
        <f t="shared" si="17"/>
        <v>102.76743245600002</v>
      </c>
      <c r="M46" s="172"/>
      <c r="N46" s="172">
        <f>L23*N$60*5</f>
        <v>150.47714616640005</v>
      </c>
      <c r="O46" s="172">
        <f t="shared" ref="O46:R48" si="18">N23*O$60*5</f>
        <v>241.55529145840006</v>
      </c>
      <c r="P46" s="172">
        <f t="shared" si="18"/>
        <v>112.98276087040003</v>
      </c>
      <c r="Q46" s="172">
        <f t="shared" si="18"/>
        <v>156.24016511040003</v>
      </c>
      <c r="R46" s="172">
        <f t="shared" si="18"/>
        <v>210.42422757760005</v>
      </c>
      <c r="S46" s="172"/>
      <c r="T46" s="172">
        <f>R23*T$60*5</f>
        <v>0</v>
      </c>
      <c r="U46" s="172">
        <f t="shared" ref="U46:W48" si="19">T23*U$60*5</f>
        <v>0</v>
      </c>
      <c r="V46" s="172">
        <f t="shared" si="19"/>
        <v>0</v>
      </c>
      <c r="W46" s="172">
        <f t="shared" si="19"/>
        <v>0</v>
      </c>
      <c r="X46" s="172"/>
      <c r="Y46" s="172">
        <f>W23*Y$60*5</f>
        <v>0</v>
      </c>
      <c r="Z46" s="172">
        <f t="shared" ref="Z46:AA48" si="20">Y23*Z$60*5</f>
        <v>0</v>
      </c>
      <c r="AA46" s="172">
        <f t="shared" si="20"/>
        <v>0</v>
      </c>
      <c r="AB46" s="172"/>
      <c r="AC46" s="172">
        <f>AA23*AC$60*5</f>
        <v>0</v>
      </c>
      <c r="AD46" s="172">
        <f t="shared" ref="AD46:AE48" si="21">AC23*AD$60*5</f>
        <v>0</v>
      </c>
      <c r="AE46" s="172">
        <f t="shared" si="21"/>
        <v>0</v>
      </c>
      <c r="AF46" s="34"/>
      <c r="AG46" s="34"/>
      <c r="AH46" s="34"/>
      <c r="AI46" s="34"/>
      <c r="AJ46" s="34"/>
      <c r="AK46" s="34"/>
    </row>
    <row r="47" spans="1:37" ht="14.1" hidden="1" customHeight="1">
      <c r="A47" s="34"/>
      <c r="B47" s="171" t="s">
        <v>477</v>
      </c>
      <c r="C47" s="34"/>
      <c r="D47" s="34"/>
      <c r="E47" s="34"/>
      <c r="F47" s="172">
        <f>SUM(G47:AE47)</f>
        <v>680.12237802400023</v>
      </c>
      <c r="G47" s="172">
        <f t="shared" si="16"/>
        <v>0</v>
      </c>
      <c r="H47" s="172">
        <f t="shared" si="16"/>
        <v>0</v>
      </c>
      <c r="I47" s="172"/>
      <c r="J47" s="172">
        <f>H24*J$60*5</f>
        <v>0</v>
      </c>
      <c r="K47" s="172">
        <f t="shared" si="17"/>
        <v>0</v>
      </c>
      <c r="L47" s="172">
        <f t="shared" si="17"/>
        <v>85.23244600000001</v>
      </c>
      <c r="M47" s="172"/>
      <c r="N47" s="172">
        <f>L24*N$60*5</f>
        <v>102.76743245600002</v>
      </c>
      <c r="O47" s="172">
        <f t="shared" si="18"/>
        <v>150.47714616640005</v>
      </c>
      <c r="P47" s="172">
        <f t="shared" si="18"/>
        <v>72.422427420800005</v>
      </c>
      <c r="Q47" s="172">
        <f t="shared" si="18"/>
        <v>112.98276087040003</v>
      </c>
      <c r="R47" s="172">
        <f t="shared" si="18"/>
        <v>156.24016511040003</v>
      </c>
      <c r="S47" s="172"/>
      <c r="T47" s="172">
        <f>R24*T$60*5</f>
        <v>0</v>
      </c>
      <c r="U47" s="172">
        <f t="shared" si="19"/>
        <v>0</v>
      </c>
      <c r="V47" s="172">
        <f t="shared" si="19"/>
        <v>0</v>
      </c>
      <c r="W47" s="172">
        <f t="shared" si="19"/>
        <v>0</v>
      </c>
      <c r="X47" s="172"/>
      <c r="Y47" s="172">
        <f>W24*Y$60*5</f>
        <v>0</v>
      </c>
      <c r="Z47" s="172">
        <f t="shared" si="20"/>
        <v>0</v>
      </c>
      <c r="AA47" s="172">
        <f t="shared" si="20"/>
        <v>0</v>
      </c>
      <c r="AB47" s="172"/>
      <c r="AC47" s="172">
        <f>AA24*AC$60*5</f>
        <v>0</v>
      </c>
      <c r="AD47" s="172">
        <f t="shared" si="21"/>
        <v>0</v>
      </c>
      <c r="AE47" s="172">
        <f t="shared" si="21"/>
        <v>0</v>
      </c>
      <c r="AF47" s="34"/>
      <c r="AG47" s="34"/>
      <c r="AH47" s="34"/>
      <c r="AI47" s="34"/>
      <c r="AJ47" s="34"/>
      <c r="AK47" s="34"/>
    </row>
    <row r="48" spans="1:37" ht="14.1" hidden="1" customHeight="1">
      <c r="A48" s="34"/>
      <c r="B48" s="171" t="s">
        <v>478</v>
      </c>
      <c r="C48" s="34"/>
      <c r="D48" s="34"/>
      <c r="E48" s="34"/>
      <c r="F48" s="172">
        <f>SUM(G48:AE48)</f>
        <v>502.12746306400015</v>
      </c>
      <c r="G48" s="172">
        <f t="shared" si="16"/>
        <v>0</v>
      </c>
      <c r="H48" s="172">
        <f t="shared" si="16"/>
        <v>0</v>
      </c>
      <c r="I48" s="172"/>
      <c r="J48" s="172">
        <f>H25*J$60*5</f>
        <v>0</v>
      </c>
      <c r="K48" s="172">
        <f t="shared" si="17"/>
        <v>0</v>
      </c>
      <c r="L48" s="172">
        <f t="shared" si="17"/>
        <v>83.606762000000003</v>
      </c>
      <c r="M48" s="172"/>
      <c r="N48" s="172">
        <f>L25*N$60*5</f>
        <v>85.23244600000001</v>
      </c>
      <c r="O48" s="172">
        <f t="shared" si="18"/>
        <v>102.76743245600002</v>
      </c>
      <c r="P48" s="172">
        <f t="shared" si="18"/>
        <v>45.115634316800012</v>
      </c>
      <c r="Q48" s="172">
        <f t="shared" si="18"/>
        <v>72.422427420800005</v>
      </c>
      <c r="R48" s="172">
        <f t="shared" si="18"/>
        <v>112.98276087040003</v>
      </c>
      <c r="S48" s="172"/>
      <c r="T48" s="172">
        <f>R25*T$60*5</f>
        <v>0</v>
      </c>
      <c r="U48" s="172">
        <f t="shared" si="19"/>
        <v>0</v>
      </c>
      <c r="V48" s="172">
        <f t="shared" si="19"/>
        <v>0</v>
      </c>
      <c r="W48" s="172">
        <f t="shared" si="19"/>
        <v>0</v>
      </c>
      <c r="X48" s="172"/>
      <c r="Y48" s="172">
        <f>W25*Y$60*5</f>
        <v>0</v>
      </c>
      <c r="Z48" s="172">
        <f t="shared" si="20"/>
        <v>0</v>
      </c>
      <c r="AA48" s="172">
        <f t="shared" si="20"/>
        <v>0</v>
      </c>
      <c r="AB48" s="172"/>
      <c r="AC48" s="172">
        <f>AA25*AC$60*5</f>
        <v>0</v>
      </c>
      <c r="AD48" s="172">
        <f t="shared" si="21"/>
        <v>0</v>
      </c>
      <c r="AE48" s="172">
        <f t="shared" si="21"/>
        <v>0</v>
      </c>
      <c r="AF48" s="34"/>
      <c r="AG48" s="34"/>
      <c r="AH48" s="34"/>
      <c r="AI48" s="34"/>
      <c r="AJ48" s="34"/>
      <c r="AK48" s="34"/>
    </row>
    <row r="49" spans="1:37" ht="14.1" hidden="1" customHeight="1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</row>
    <row r="50" spans="1:37" hidden="1">
      <c r="A50" s="34"/>
      <c r="B50" s="156"/>
      <c r="C50" s="156"/>
      <c r="D50" s="156"/>
      <c r="E50" s="156"/>
      <c r="F50" s="156" t="s">
        <v>522</v>
      </c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156"/>
      <c r="Y50" s="156"/>
      <c r="Z50" s="156"/>
      <c r="AA50" s="156"/>
      <c r="AB50" s="156"/>
      <c r="AC50" s="156"/>
      <c r="AD50" s="156"/>
      <c r="AE50" s="156"/>
      <c r="AF50" s="34"/>
      <c r="AG50" s="34"/>
      <c r="AH50" s="34"/>
      <c r="AI50" s="34"/>
      <c r="AJ50" s="34"/>
      <c r="AK50" s="34"/>
    </row>
    <row r="51" spans="1:37" hidden="1">
      <c r="A51" s="34"/>
      <c r="B51" s="170" t="s">
        <v>520</v>
      </c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</row>
    <row r="52" spans="1:37" hidden="1">
      <c r="A52" s="34"/>
      <c r="B52" s="171" t="s">
        <v>476</v>
      </c>
      <c r="C52" s="34"/>
      <c r="D52" s="34"/>
      <c r="E52" s="34"/>
      <c r="F52" s="172">
        <f>SUM(G52:AE52)</f>
        <v>1056.4830102400001</v>
      </c>
      <c r="G52" s="172">
        <f t="shared" ref="G52:H54" si="22">F23*G$61*5</f>
        <v>0</v>
      </c>
      <c r="H52" s="172">
        <f t="shared" si="22"/>
        <v>0</v>
      </c>
      <c r="I52" s="172"/>
      <c r="J52" s="172">
        <f>H23*J$61*5</f>
        <v>0</v>
      </c>
      <c r="K52" s="172">
        <f t="shared" ref="K52:L54" si="23">J23*K$61*5</f>
        <v>0</v>
      </c>
      <c r="L52" s="172">
        <f t="shared" si="23"/>
        <v>0</v>
      </c>
      <c r="M52" s="172"/>
      <c r="N52" s="172">
        <f>L23*N$61*5</f>
        <v>0</v>
      </c>
      <c r="O52" s="172">
        <f t="shared" ref="O52:R54" si="24">N23*O$61*5</f>
        <v>0</v>
      </c>
      <c r="P52" s="172">
        <f t="shared" si="24"/>
        <v>120.56087288000001</v>
      </c>
      <c r="Q52" s="172">
        <f t="shared" si="24"/>
        <v>166.71968837999998</v>
      </c>
      <c r="R52" s="172">
        <f t="shared" si="24"/>
        <v>224.53804771999998</v>
      </c>
      <c r="S52" s="172"/>
      <c r="T52" s="172">
        <f>R23*T$61*5</f>
        <v>274.62236522000001</v>
      </c>
      <c r="U52" s="172">
        <f t="shared" ref="U52:W54" si="25">T23*U$61*5</f>
        <v>270.04203603999997</v>
      </c>
      <c r="V52" s="172">
        <f t="shared" si="25"/>
        <v>0</v>
      </c>
      <c r="W52" s="172">
        <f t="shared" si="25"/>
        <v>0</v>
      </c>
      <c r="X52" s="172"/>
      <c r="Y52" s="172">
        <f>W23*Y$61*5</f>
        <v>0</v>
      </c>
      <c r="Z52" s="172">
        <f t="shared" ref="Z52:AA54" si="26">Y23*Z$61*5</f>
        <v>0</v>
      </c>
      <c r="AA52" s="172">
        <f t="shared" si="26"/>
        <v>0</v>
      </c>
      <c r="AB52" s="172"/>
      <c r="AC52" s="172">
        <f>AA23*AC$61*5</f>
        <v>0</v>
      </c>
      <c r="AD52" s="172">
        <f t="shared" ref="AD52:AE54" si="27">AC23*AD$61*5</f>
        <v>0</v>
      </c>
      <c r="AE52" s="172">
        <f t="shared" si="27"/>
        <v>0</v>
      </c>
      <c r="AF52" s="34"/>
      <c r="AG52" s="34"/>
      <c r="AH52" s="34"/>
      <c r="AI52" s="34"/>
      <c r="AJ52" s="34"/>
      <c r="AK52" s="34"/>
    </row>
    <row r="53" spans="1:37" hidden="1">
      <c r="A53" s="34"/>
      <c r="B53" s="171" t="s">
        <v>477</v>
      </c>
      <c r="C53" s="34"/>
      <c r="D53" s="34"/>
      <c r="E53" s="34"/>
      <c r="F53" s="172">
        <f>SUM(G53:AE53)</f>
        <v>851.24199313650001</v>
      </c>
      <c r="G53" s="172">
        <f t="shared" si="22"/>
        <v>0</v>
      </c>
      <c r="H53" s="172">
        <f t="shared" si="22"/>
        <v>0</v>
      </c>
      <c r="I53" s="172"/>
      <c r="J53" s="172">
        <f>H24*J$61*5</f>
        <v>0</v>
      </c>
      <c r="K53" s="172">
        <f t="shared" si="23"/>
        <v>0</v>
      </c>
      <c r="L53" s="172">
        <f t="shared" si="23"/>
        <v>0</v>
      </c>
      <c r="M53" s="172"/>
      <c r="N53" s="172">
        <f>L24*N$61*5</f>
        <v>0</v>
      </c>
      <c r="O53" s="172">
        <f t="shared" si="24"/>
        <v>0</v>
      </c>
      <c r="P53" s="172">
        <f t="shared" si="24"/>
        <v>77.280029260000006</v>
      </c>
      <c r="Q53" s="172">
        <f t="shared" si="24"/>
        <v>120.56087288000001</v>
      </c>
      <c r="R53" s="172">
        <f t="shared" si="24"/>
        <v>166.71968837999998</v>
      </c>
      <c r="S53" s="172"/>
      <c r="T53" s="172">
        <f>R24*T$61*5</f>
        <v>218.92459652699998</v>
      </c>
      <c r="U53" s="172">
        <f t="shared" si="25"/>
        <v>267.7568060895</v>
      </c>
      <c r="V53" s="172">
        <f t="shared" si="25"/>
        <v>0</v>
      </c>
      <c r="W53" s="172">
        <f t="shared" si="25"/>
        <v>0</v>
      </c>
      <c r="X53" s="172"/>
      <c r="Y53" s="172">
        <f>W24*Y$61*5</f>
        <v>0</v>
      </c>
      <c r="Z53" s="172">
        <f t="shared" si="26"/>
        <v>0</v>
      </c>
      <c r="AA53" s="172">
        <f t="shared" si="26"/>
        <v>0</v>
      </c>
      <c r="AB53" s="172"/>
      <c r="AC53" s="172">
        <f>AA24*AC$61*5</f>
        <v>0</v>
      </c>
      <c r="AD53" s="172">
        <f t="shared" si="27"/>
        <v>0</v>
      </c>
      <c r="AE53" s="172">
        <f t="shared" si="27"/>
        <v>0</v>
      </c>
      <c r="AF53" s="34"/>
      <c r="AG53" s="34"/>
      <c r="AH53" s="34"/>
      <c r="AI53" s="34"/>
      <c r="AJ53" s="34"/>
      <c r="AK53" s="34"/>
    </row>
    <row r="54" spans="1:37" hidden="1">
      <c r="A54" s="34"/>
      <c r="B54" s="171" t="s">
        <v>478</v>
      </c>
      <c r="C54" s="34"/>
      <c r="D54" s="34"/>
      <c r="E54" s="34"/>
      <c r="F54" s="172">
        <f>SUM(G54:AE54)</f>
        <v>621.98576288432491</v>
      </c>
      <c r="G54" s="172">
        <f t="shared" si="22"/>
        <v>0</v>
      </c>
      <c r="H54" s="172">
        <f t="shared" si="22"/>
        <v>0</v>
      </c>
      <c r="I54" s="172"/>
      <c r="J54" s="172">
        <f>H25*J$61*5</f>
        <v>0</v>
      </c>
      <c r="K54" s="172">
        <f t="shared" si="23"/>
        <v>0</v>
      </c>
      <c r="L54" s="172">
        <f t="shared" si="23"/>
        <v>0</v>
      </c>
      <c r="M54" s="172"/>
      <c r="N54" s="172">
        <f>L25*N$61*5</f>
        <v>0</v>
      </c>
      <c r="O54" s="172">
        <f t="shared" si="24"/>
        <v>0</v>
      </c>
      <c r="P54" s="172">
        <f t="shared" si="24"/>
        <v>48.141682959999997</v>
      </c>
      <c r="Q54" s="172">
        <f t="shared" si="24"/>
        <v>77.280029260000006</v>
      </c>
      <c r="R54" s="172">
        <f t="shared" si="24"/>
        <v>120.56087288000001</v>
      </c>
      <c r="S54" s="172"/>
      <c r="T54" s="172">
        <f>R25*T$61*5</f>
        <v>162.55169617049998</v>
      </c>
      <c r="U54" s="172">
        <f t="shared" si="25"/>
        <v>213.45148161382497</v>
      </c>
      <c r="V54" s="172">
        <f t="shared" si="25"/>
        <v>0</v>
      </c>
      <c r="W54" s="172">
        <f t="shared" si="25"/>
        <v>0</v>
      </c>
      <c r="X54" s="172"/>
      <c r="Y54" s="172">
        <f>W25*Y$61*5</f>
        <v>0</v>
      </c>
      <c r="Z54" s="172">
        <f t="shared" si="26"/>
        <v>0</v>
      </c>
      <c r="AA54" s="172">
        <f t="shared" si="26"/>
        <v>0</v>
      </c>
      <c r="AB54" s="172"/>
      <c r="AC54" s="172">
        <f>AA25*AC$61*5</f>
        <v>0</v>
      </c>
      <c r="AD54" s="172">
        <f t="shared" si="27"/>
        <v>0</v>
      </c>
      <c r="AE54" s="172">
        <f t="shared" si="27"/>
        <v>0</v>
      </c>
      <c r="AF54" s="34"/>
      <c r="AG54" s="34"/>
      <c r="AH54" s="34"/>
      <c r="AI54" s="34"/>
      <c r="AJ54" s="34"/>
      <c r="AK54" s="34"/>
    </row>
    <row r="55" spans="1:37" hidden="1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</row>
    <row r="56" spans="1:37" hidden="1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</row>
    <row r="57" spans="1:37" hidden="1">
      <c r="A57" s="34"/>
      <c r="B57" s="156" t="s">
        <v>523</v>
      </c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56"/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  <c r="AD57" s="156"/>
      <c r="AE57" s="156"/>
      <c r="AF57" s="34"/>
      <c r="AG57" s="34"/>
      <c r="AH57" s="34"/>
      <c r="AI57" s="34"/>
      <c r="AJ57" s="34"/>
      <c r="AK57" s="34"/>
    </row>
    <row r="58" spans="1:37" ht="14.1" hidden="1" customHeight="1">
      <c r="A58" s="34"/>
      <c r="B58" s="167" t="s">
        <v>508</v>
      </c>
      <c r="C58" s="168"/>
      <c r="D58" s="168"/>
      <c r="E58" s="156"/>
      <c r="F58" s="169" t="s">
        <v>372</v>
      </c>
      <c r="G58" s="169" t="s">
        <v>373</v>
      </c>
      <c r="H58" s="169">
        <v>2</v>
      </c>
      <c r="I58" s="169"/>
      <c r="J58" s="169">
        <v>3</v>
      </c>
      <c r="K58" s="169">
        <v>4</v>
      </c>
      <c r="L58" s="169">
        <v>5</v>
      </c>
      <c r="M58" s="169"/>
      <c r="N58" s="169">
        <v>6</v>
      </c>
      <c r="O58" s="169">
        <v>7</v>
      </c>
      <c r="P58" s="169">
        <v>8</v>
      </c>
      <c r="Q58" s="169">
        <v>9</v>
      </c>
      <c r="R58" s="169">
        <v>10</v>
      </c>
      <c r="S58" s="169"/>
      <c r="T58" s="169">
        <v>11</v>
      </c>
      <c r="U58" s="169">
        <v>12</v>
      </c>
      <c r="V58" s="169">
        <v>13</v>
      </c>
      <c r="W58" s="169">
        <v>14</v>
      </c>
      <c r="X58" s="169"/>
      <c r="Y58" s="169">
        <v>15</v>
      </c>
      <c r="Z58" s="169">
        <v>16</v>
      </c>
      <c r="AA58" s="169">
        <v>17</v>
      </c>
      <c r="AB58" s="169"/>
      <c r="AC58" s="169">
        <v>18</v>
      </c>
      <c r="AD58" s="169">
        <v>19</v>
      </c>
      <c r="AE58" s="169" t="s">
        <v>510</v>
      </c>
      <c r="AF58" s="34"/>
      <c r="AG58" s="34"/>
      <c r="AH58" s="34"/>
      <c r="AI58" s="34"/>
      <c r="AJ58" s="34"/>
      <c r="AK58" s="34"/>
    </row>
    <row r="59" spans="1:37" ht="15.95" hidden="1" customHeight="1">
      <c r="A59" s="34"/>
      <c r="B59" s="34" t="s">
        <v>380</v>
      </c>
      <c r="C59" s="34"/>
      <c r="D59" s="34"/>
      <c r="E59" s="34"/>
      <c r="F59" s="34"/>
      <c r="G59" s="173"/>
      <c r="H59" s="173"/>
      <c r="I59" s="173"/>
      <c r="J59" s="173"/>
      <c r="K59" s="173"/>
      <c r="L59" s="173"/>
      <c r="M59" s="173"/>
      <c r="N59" s="173"/>
      <c r="O59" s="173"/>
      <c r="P59" s="173"/>
      <c r="Q59" s="173"/>
      <c r="R59" s="174">
        <v>5.0000000000000001E-3</v>
      </c>
      <c r="S59" s="174"/>
      <c r="T59" s="174">
        <v>5.0000000000000001E-3</v>
      </c>
      <c r="U59" s="174">
        <v>6.6E-3</v>
      </c>
      <c r="V59" s="174">
        <v>8.2000000000000007E-3</v>
      </c>
      <c r="W59" s="174">
        <v>8.2000000000000007E-3</v>
      </c>
      <c r="X59" s="174"/>
      <c r="Y59" s="174">
        <v>8.2000000000000007E-3</v>
      </c>
      <c r="Z59" s="174">
        <v>8.2000000000000007E-3</v>
      </c>
      <c r="AA59" s="174">
        <v>8.2000000000000007E-3</v>
      </c>
      <c r="AB59" s="174"/>
      <c r="AC59" s="174">
        <v>8.2000000000000007E-3</v>
      </c>
      <c r="AD59" s="174">
        <v>8.2000000000000007E-3</v>
      </c>
      <c r="AE59" s="174">
        <v>8.2000000000000007E-3</v>
      </c>
      <c r="AF59" s="34"/>
      <c r="AG59" s="34"/>
      <c r="AH59" s="34"/>
      <c r="AI59" s="34"/>
      <c r="AJ59" s="34"/>
      <c r="AK59" s="34"/>
    </row>
    <row r="60" spans="1:37" ht="15.95" hidden="1" customHeight="1">
      <c r="A60" s="34"/>
      <c r="B60" s="34" t="s">
        <v>524</v>
      </c>
      <c r="C60" s="34"/>
      <c r="D60" s="34"/>
      <c r="E60" s="34"/>
      <c r="F60" s="34"/>
      <c r="G60" s="173"/>
      <c r="H60" s="173"/>
      <c r="I60" s="173"/>
      <c r="J60" s="173"/>
      <c r="K60" s="173"/>
      <c r="L60" s="174">
        <v>0.10940000000000001</v>
      </c>
      <c r="M60" s="174"/>
      <c r="N60" s="174">
        <v>0.10940000000000001</v>
      </c>
      <c r="O60" s="174">
        <v>0.10940000000000001</v>
      </c>
      <c r="P60" s="174">
        <v>3.2800000000000003E-2</v>
      </c>
      <c r="Q60" s="174">
        <v>3.2800000000000003E-2</v>
      </c>
      <c r="R60" s="174">
        <v>3.2800000000000003E-2</v>
      </c>
      <c r="S60" s="174"/>
      <c r="T60" s="174"/>
      <c r="U60" s="174"/>
      <c r="V60" s="173"/>
      <c r="W60" s="173"/>
      <c r="X60" s="173"/>
      <c r="Y60" s="173"/>
      <c r="Z60" s="173"/>
      <c r="AA60" s="173"/>
      <c r="AB60" s="173"/>
      <c r="AC60" s="173"/>
      <c r="AD60" s="173"/>
      <c r="AE60" s="173"/>
      <c r="AF60" s="34"/>
      <c r="AG60" s="34"/>
      <c r="AH60" s="34"/>
      <c r="AI60" s="34"/>
      <c r="AJ60" s="34"/>
      <c r="AK60" s="34"/>
    </row>
    <row r="61" spans="1:37" ht="15.95" hidden="1" customHeight="1">
      <c r="A61" s="34"/>
      <c r="B61" s="156" t="s">
        <v>384</v>
      </c>
      <c r="C61" s="156"/>
      <c r="D61" s="156"/>
      <c r="E61" s="156"/>
      <c r="F61" s="156"/>
      <c r="G61" s="175"/>
      <c r="H61" s="175"/>
      <c r="I61" s="175"/>
      <c r="J61" s="175"/>
      <c r="K61" s="175"/>
      <c r="L61" s="176"/>
      <c r="M61" s="176"/>
      <c r="N61" s="176"/>
      <c r="O61" s="176"/>
      <c r="P61" s="176">
        <v>3.4999999999999996E-2</v>
      </c>
      <c r="Q61" s="176">
        <v>3.4999999999999996E-2</v>
      </c>
      <c r="R61" s="176">
        <v>3.4999999999999996E-2</v>
      </c>
      <c r="S61" s="176"/>
      <c r="T61" s="176">
        <v>3.4999999999999996E-2</v>
      </c>
      <c r="U61" s="176">
        <v>3.4999999999999996E-2</v>
      </c>
      <c r="V61" s="175"/>
      <c r="W61" s="175"/>
      <c r="X61" s="175"/>
      <c r="Y61" s="175"/>
      <c r="Z61" s="175"/>
      <c r="AA61" s="175"/>
      <c r="AB61" s="175"/>
      <c r="AC61" s="175"/>
      <c r="AD61" s="175"/>
      <c r="AE61" s="175"/>
      <c r="AF61" s="34"/>
      <c r="AG61" s="34"/>
      <c r="AH61" s="34"/>
      <c r="AI61" s="34"/>
      <c r="AJ61" s="34"/>
      <c r="AK61" s="34"/>
    </row>
    <row r="62" spans="1:37" ht="15.95" hidden="1" customHeight="1">
      <c r="A62" s="34"/>
      <c r="B62" s="177" t="s">
        <v>525</v>
      </c>
      <c r="C62" s="177"/>
      <c r="D62" s="177"/>
      <c r="E62" s="177"/>
      <c r="F62" s="177"/>
      <c r="G62" s="178">
        <v>67</v>
      </c>
      <c r="H62" s="179">
        <v>7</v>
      </c>
      <c r="I62" s="179"/>
      <c r="J62" s="179"/>
      <c r="K62" s="179"/>
      <c r="L62" s="179">
        <v>6</v>
      </c>
      <c r="M62" s="179"/>
      <c r="N62" s="179">
        <v>6</v>
      </c>
      <c r="O62" s="179">
        <v>6</v>
      </c>
      <c r="P62" s="178">
        <v>6</v>
      </c>
      <c r="Q62" s="178">
        <v>6</v>
      </c>
      <c r="R62" s="178">
        <v>6</v>
      </c>
      <c r="S62" s="178"/>
      <c r="T62" s="178">
        <v>6</v>
      </c>
      <c r="U62" s="178">
        <v>6</v>
      </c>
      <c r="V62" s="180"/>
      <c r="W62" s="180"/>
      <c r="X62" s="180"/>
      <c r="Y62" s="180"/>
      <c r="Z62" s="180"/>
      <c r="AA62" s="180"/>
      <c r="AB62" s="180"/>
      <c r="AC62" s="180"/>
      <c r="AD62" s="180"/>
      <c r="AE62" s="180"/>
      <c r="AF62" s="34"/>
      <c r="AG62" s="34"/>
      <c r="AH62" s="34"/>
      <c r="AI62" s="34"/>
      <c r="AJ62" s="34"/>
      <c r="AK62" s="34"/>
    </row>
    <row r="63" spans="1:37" ht="15.95" hidden="1" customHeight="1">
      <c r="A63" s="34"/>
      <c r="B63" s="156" t="s">
        <v>526</v>
      </c>
      <c r="C63" s="156"/>
      <c r="D63" s="156"/>
      <c r="E63" s="156"/>
      <c r="F63" s="156"/>
      <c r="G63" s="181">
        <v>35</v>
      </c>
      <c r="H63" s="181">
        <v>7</v>
      </c>
      <c r="I63" s="181"/>
      <c r="J63" s="181"/>
      <c r="K63" s="181"/>
      <c r="L63" s="181">
        <v>6</v>
      </c>
      <c r="M63" s="181"/>
      <c r="N63" s="181">
        <v>6</v>
      </c>
      <c r="O63" s="181">
        <v>6</v>
      </c>
      <c r="P63" s="181">
        <v>6</v>
      </c>
      <c r="Q63" s="181">
        <v>6</v>
      </c>
      <c r="R63" s="181">
        <v>6</v>
      </c>
      <c r="S63" s="181"/>
      <c r="T63" s="181">
        <v>6</v>
      </c>
      <c r="U63" s="181">
        <v>6</v>
      </c>
      <c r="V63" s="180"/>
      <c r="W63" s="180"/>
      <c r="X63" s="180"/>
      <c r="Y63" s="180"/>
      <c r="Z63" s="180"/>
      <c r="AA63" s="180"/>
      <c r="AB63" s="180"/>
      <c r="AC63" s="180"/>
      <c r="AD63" s="180"/>
      <c r="AE63" s="180"/>
      <c r="AF63" s="34"/>
      <c r="AG63" s="34"/>
      <c r="AH63" s="34"/>
      <c r="AI63" s="34"/>
      <c r="AJ63" s="34"/>
      <c r="AK63" s="34"/>
    </row>
    <row r="64" spans="1:37" ht="15.95" hidden="1" customHeight="1">
      <c r="A64" s="34"/>
      <c r="B64" s="34" t="s">
        <v>527</v>
      </c>
      <c r="C64" s="34"/>
      <c r="D64" s="34"/>
      <c r="E64" s="34"/>
      <c r="F64" s="173">
        <v>0.18099999999999999</v>
      </c>
      <c r="G64" s="34"/>
      <c r="H64" s="293" t="s">
        <v>348</v>
      </c>
      <c r="I64" s="293"/>
      <c r="J64" s="293"/>
      <c r="K64" s="34"/>
      <c r="L64" s="293" t="s">
        <v>315</v>
      </c>
      <c r="M64" s="293"/>
      <c r="N64" s="293"/>
      <c r="O64" s="293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</row>
    <row r="65" spans="1:37" ht="15.95" hidden="1" customHeight="1">
      <c r="A65" s="34"/>
      <c r="B65" s="156" t="s">
        <v>528</v>
      </c>
      <c r="C65" s="156"/>
      <c r="D65" s="156"/>
      <c r="E65" s="156"/>
      <c r="F65" s="175">
        <v>0.18099999999999999</v>
      </c>
      <c r="G65" s="177"/>
      <c r="H65" s="182" t="s">
        <v>413</v>
      </c>
      <c r="I65" s="182"/>
      <c r="J65" s="182" t="s">
        <v>352</v>
      </c>
      <c r="K65" s="171"/>
      <c r="L65" s="171" t="s">
        <v>316</v>
      </c>
      <c r="M65" s="171"/>
      <c r="N65" s="171" t="s">
        <v>319</v>
      </c>
      <c r="O65" s="171" t="s">
        <v>317</v>
      </c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</row>
    <row r="66" spans="1:37" ht="15.95" hidden="1" customHeight="1">
      <c r="A66" s="34"/>
      <c r="B66" s="177" t="s">
        <v>396</v>
      </c>
      <c r="C66" s="177"/>
      <c r="D66" s="177"/>
      <c r="E66" s="177"/>
      <c r="F66" s="183">
        <v>2.380019118738079E-3</v>
      </c>
      <c r="G66" s="34"/>
      <c r="H66" s="184"/>
      <c r="I66" s="184"/>
      <c r="J66" s="184"/>
      <c r="K66" s="171"/>
      <c r="L66" s="169" t="s">
        <v>414</v>
      </c>
      <c r="M66" s="169"/>
      <c r="N66" s="169" t="s">
        <v>529</v>
      </c>
      <c r="O66" s="169" t="s">
        <v>414</v>
      </c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</row>
    <row r="67" spans="1:37" ht="15.95" hidden="1" customHeight="1">
      <c r="A67" s="34"/>
      <c r="B67" s="156" t="s">
        <v>530</v>
      </c>
      <c r="C67" s="156"/>
      <c r="D67" s="156"/>
      <c r="E67" s="156"/>
      <c r="F67" s="181">
        <v>132</v>
      </c>
      <c r="G67" s="156"/>
      <c r="H67" s="185">
        <v>0.48884013273989008</v>
      </c>
      <c r="I67" s="185"/>
      <c r="J67" s="185">
        <v>0.19157384736886188</v>
      </c>
      <c r="K67" s="156"/>
      <c r="L67" s="185">
        <v>0.74346590950120928</v>
      </c>
      <c r="M67" s="185"/>
      <c r="N67" s="185">
        <v>0.56999999999999995</v>
      </c>
      <c r="O67" s="185">
        <v>0.74346590950120928</v>
      </c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</row>
    <row r="68" spans="1:37" ht="15.95" hidden="1" customHeight="1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</row>
    <row r="69" spans="1:37" ht="15.95" customHeight="1"/>
    <row r="70" spans="1:37" ht="15.95" customHeight="1"/>
    <row r="71" spans="1:37" ht="15.95" customHeight="1"/>
    <row r="72" spans="1:37" ht="15.95" customHeight="1"/>
    <row r="73" spans="1:37" ht="15.95" customHeight="1"/>
    <row r="74" spans="1:37" ht="15.95" customHeight="1"/>
  </sheetData>
  <mergeCells count="34">
    <mergeCell ref="AC7:AC8"/>
    <mergeCell ref="AD7:AD8"/>
    <mergeCell ref="AE7:AG7"/>
    <mergeCell ref="Y7:Y8"/>
    <mergeCell ref="Z7:Z8"/>
    <mergeCell ref="AA7:AA8"/>
    <mergeCell ref="H64:J64"/>
    <mergeCell ref="L64:O64"/>
    <mergeCell ref="AC6:AH6"/>
    <mergeCell ref="AJ6:AK6"/>
    <mergeCell ref="F7:F8"/>
    <mergeCell ref="G7:G8"/>
    <mergeCell ref="H7:H8"/>
    <mergeCell ref="J7:J8"/>
    <mergeCell ref="K7:K8"/>
    <mergeCell ref="L7:L8"/>
    <mergeCell ref="N7:N8"/>
    <mergeCell ref="O7:O8"/>
    <mergeCell ref="Y6:AA6"/>
    <mergeCell ref="AH7:AH8"/>
    <mergeCell ref="AJ7:AJ8"/>
    <mergeCell ref="AK7:AK8"/>
    <mergeCell ref="U7:U8"/>
    <mergeCell ref="V7:V8"/>
    <mergeCell ref="D6:D8"/>
    <mergeCell ref="F6:H6"/>
    <mergeCell ref="J6:L6"/>
    <mergeCell ref="N6:R6"/>
    <mergeCell ref="T6:W6"/>
    <mergeCell ref="P7:P8"/>
    <mergeCell ref="Q7:Q8"/>
    <mergeCell ref="R7:R8"/>
    <mergeCell ref="T7:T8"/>
    <mergeCell ref="W7:W8"/>
  </mergeCells>
  <phoneticPr fontId="4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FF99FF"/>
    <pageSetUpPr fitToPage="1"/>
  </sheetPr>
  <dimension ref="A1:AP98"/>
  <sheetViews>
    <sheetView showGridLines="0" workbookViewId="0">
      <selection activeCell="J42" sqref="J42"/>
    </sheetView>
  </sheetViews>
  <sheetFormatPr defaultRowHeight="13.5"/>
  <cols>
    <col min="1" max="1" width="2.625" customWidth="1"/>
    <col min="2" max="2" width="9.625" customWidth="1"/>
    <col min="3" max="3" width="1.625" customWidth="1"/>
    <col min="4" max="4" width="9.125" customWidth="1"/>
    <col min="5" max="5" width="1.625" customWidth="1"/>
    <col min="6" max="6" width="8.625" customWidth="1"/>
    <col min="7" max="8" width="7.625" customWidth="1"/>
    <col min="9" max="9" width="1.625" customWidth="1"/>
    <col min="10" max="10" width="6.625" customWidth="1"/>
    <col min="11" max="11" width="7.625" customWidth="1"/>
    <col min="12" max="12" width="8.125" customWidth="1"/>
    <col min="13" max="13" width="1.625" customWidth="1"/>
    <col min="14" max="14" width="6.625" customWidth="1"/>
    <col min="15" max="18" width="7.625" customWidth="1"/>
    <col min="19" max="19" width="1.625" customWidth="1"/>
    <col min="20" max="20" width="7.125" customWidth="1"/>
    <col min="21" max="23" width="7.625" customWidth="1"/>
    <col min="24" max="24" width="1.625" customWidth="1"/>
    <col min="25" max="25" width="7.125" customWidth="1"/>
    <col min="26" max="27" width="7.625" customWidth="1"/>
    <col min="28" max="28" width="1.625" customWidth="1"/>
    <col min="29" max="29" width="6.625" customWidth="1"/>
    <col min="30" max="30" width="8.125" customWidth="1"/>
    <col min="31" max="32" width="7.625" customWidth="1"/>
    <col min="33" max="33" width="8.625" customWidth="1"/>
    <col min="34" max="34" width="8.125" customWidth="1"/>
    <col min="35" max="35" width="2.625" customWidth="1"/>
    <col min="36" max="38" width="7.625" customWidth="1"/>
    <col min="39" max="39" width="2.625" customWidth="1"/>
    <col min="40" max="42" width="9" hidden="1" customWidth="1"/>
  </cols>
  <sheetData>
    <row r="1" spans="1:42">
      <c r="A1" s="1" t="s">
        <v>675</v>
      </c>
      <c r="B1" s="1"/>
      <c r="C1" s="1"/>
      <c r="D1" s="1"/>
      <c r="E1" s="1"/>
      <c r="K1" s="152"/>
      <c r="AN1" s="153" t="s">
        <v>487</v>
      </c>
      <c r="AO1" s="34"/>
      <c r="AP1" s="34"/>
    </row>
    <row r="2" spans="1:42">
      <c r="B2" s="39" t="s">
        <v>542</v>
      </c>
      <c r="C2" s="11"/>
      <c r="D2" s="11"/>
      <c r="E2" s="11"/>
      <c r="K2" s="154"/>
      <c r="AN2" s="34"/>
      <c r="AO2" s="34"/>
      <c r="AP2" s="34"/>
    </row>
    <row r="3" spans="1:42">
      <c r="K3" s="155"/>
      <c r="P3" s="155"/>
      <c r="AJ3" t="s">
        <v>668</v>
      </c>
      <c r="AN3" s="34"/>
      <c r="AO3" s="34"/>
      <c r="AP3" s="34"/>
    </row>
    <row r="4" spans="1:42">
      <c r="C4" s="32" t="s">
        <v>532</v>
      </c>
      <c r="D4" t="s">
        <v>432</v>
      </c>
      <c r="F4" t="s">
        <v>533</v>
      </c>
      <c r="K4" t="str">
        <f>"再造林率：現状 ("&amp;TEXT(H91,"00%")&amp;")"</f>
        <v>再造林率：現状 (49%)</v>
      </c>
      <c r="AJ4" t="s">
        <v>671</v>
      </c>
      <c r="AN4" s="34"/>
      <c r="AO4" s="34"/>
      <c r="AP4" s="34"/>
    </row>
    <row r="5" spans="1:42" ht="15.95" customHeight="1">
      <c r="B5" s="2"/>
      <c r="C5" s="2"/>
      <c r="D5" s="2"/>
      <c r="E5" s="2"/>
      <c r="F5" s="3"/>
      <c r="G5" s="44"/>
      <c r="H5" s="2"/>
      <c r="I5" s="16"/>
      <c r="L5" s="2"/>
      <c r="M5" s="2"/>
      <c r="N5" s="2"/>
      <c r="O5" s="2"/>
      <c r="P5" s="2"/>
      <c r="Q5" s="3"/>
      <c r="R5" s="109"/>
      <c r="S5" s="109"/>
      <c r="T5" s="2"/>
      <c r="U5" s="3"/>
      <c r="V5" s="109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J5" s="2" t="str">
        <f>"(1期当たり"&amp;TEXT(AP8,"0%")&amp;"向上)"</f>
        <v>(1期当たり5%向上)</v>
      </c>
      <c r="AK5" s="2"/>
      <c r="AL5" s="2"/>
      <c r="AN5" s="156"/>
      <c r="AO5" s="156"/>
      <c r="AP5" s="34"/>
    </row>
    <row r="6" spans="1:42" ht="15.95" customHeight="1">
      <c r="B6" s="131"/>
      <c r="C6" s="131"/>
      <c r="D6" s="289" t="s">
        <v>490</v>
      </c>
      <c r="E6" s="104"/>
      <c r="F6" s="265" t="s">
        <v>399</v>
      </c>
      <c r="G6" s="265"/>
      <c r="H6" s="265"/>
      <c r="I6" s="104"/>
      <c r="J6" s="265" t="s">
        <v>400</v>
      </c>
      <c r="K6" s="265"/>
      <c r="L6" s="265"/>
      <c r="M6" s="104"/>
      <c r="N6" s="265" t="s">
        <v>689</v>
      </c>
      <c r="O6" s="265"/>
      <c r="P6" s="265"/>
      <c r="Q6" s="265"/>
      <c r="R6" s="265"/>
      <c r="S6" s="104"/>
      <c r="T6" s="265" t="s">
        <v>687</v>
      </c>
      <c r="U6" s="265"/>
      <c r="V6" s="265"/>
      <c r="W6" s="265"/>
      <c r="X6" s="104"/>
      <c r="Y6" s="265" t="s">
        <v>347</v>
      </c>
      <c r="Z6" s="265"/>
      <c r="AA6" s="265"/>
      <c r="AB6" s="104"/>
      <c r="AC6" s="265" t="s">
        <v>491</v>
      </c>
      <c r="AD6" s="265"/>
      <c r="AE6" s="265"/>
      <c r="AF6" s="265"/>
      <c r="AG6" s="265"/>
      <c r="AH6" s="265"/>
      <c r="AJ6" s="265" t="s">
        <v>667</v>
      </c>
      <c r="AK6" s="265"/>
      <c r="AL6" s="258"/>
      <c r="AN6" s="293" t="s">
        <v>492</v>
      </c>
      <c r="AO6" s="293"/>
      <c r="AP6" s="168" t="s">
        <v>665</v>
      </c>
    </row>
    <row r="7" spans="1:42" ht="15.95" customHeight="1">
      <c r="B7" s="15" t="s">
        <v>493</v>
      </c>
      <c r="C7" s="16"/>
      <c r="D7" s="276"/>
      <c r="E7" s="55"/>
      <c r="F7" s="289" t="s">
        <v>1</v>
      </c>
      <c r="G7" s="289" t="s">
        <v>316</v>
      </c>
      <c r="H7" s="289" t="s">
        <v>317</v>
      </c>
      <c r="I7" s="55"/>
      <c r="J7" s="289" t="s">
        <v>1</v>
      </c>
      <c r="K7" s="289" t="s">
        <v>401</v>
      </c>
      <c r="L7" s="289" t="s">
        <v>319</v>
      </c>
      <c r="M7" s="55"/>
      <c r="N7" s="289" t="s">
        <v>1</v>
      </c>
      <c r="O7" s="289" t="s">
        <v>494</v>
      </c>
      <c r="P7" s="289" t="s">
        <v>403</v>
      </c>
      <c r="Q7" s="289" t="s">
        <v>495</v>
      </c>
      <c r="R7" s="289" t="s">
        <v>496</v>
      </c>
      <c r="S7" s="55"/>
      <c r="T7" s="289" t="s">
        <v>1</v>
      </c>
      <c r="U7" s="289" t="s">
        <v>494</v>
      </c>
      <c r="V7" s="289" t="s">
        <v>495</v>
      </c>
      <c r="W7" s="289" t="s">
        <v>496</v>
      </c>
      <c r="X7" s="55"/>
      <c r="Y7" s="289" t="s">
        <v>1</v>
      </c>
      <c r="Z7" s="289" t="s">
        <v>413</v>
      </c>
      <c r="AA7" s="289" t="s">
        <v>352</v>
      </c>
      <c r="AB7" s="55"/>
      <c r="AC7" s="289" t="s">
        <v>1</v>
      </c>
      <c r="AD7" s="289" t="s">
        <v>497</v>
      </c>
      <c r="AE7" s="286" t="s">
        <v>498</v>
      </c>
      <c r="AF7" s="286"/>
      <c r="AG7" s="286"/>
      <c r="AH7" s="289" t="s">
        <v>499</v>
      </c>
      <c r="AJ7" s="289" t="s">
        <v>1</v>
      </c>
      <c r="AK7" s="289" t="s">
        <v>497</v>
      </c>
      <c r="AL7" s="259" t="s">
        <v>669</v>
      </c>
      <c r="AM7" s="253"/>
      <c r="AN7" s="169" t="s">
        <v>500</v>
      </c>
      <c r="AO7" s="169" t="s">
        <v>501</v>
      </c>
      <c r="AP7" s="256" t="s">
        <v>666</v>
      </c>
    </row>
    <row r="8" spans="1:42" ht="15.95" customHeight="1">
      <c r="B8" s="6"/>
      <c r="D8" s="278"/>
      <c r="E8" s="55"/>
      <c r="F8" s="278"/>
      <c r="G8" s="278"/>
      <c r="H8" s="278"/>
      <c r="I8" s="55"/>
      <c r="J8" s="278"/>
      <c r="K8" s="278"/>
      <c r="L8" s="278"/>
      <c r="M8" s="55"/>
      <c r="N8" s="278"/>
      <c r="O8" s="278"/>
      <c r="P8" s="278"/>
      <c r="Q8" s="278"/>
      <c r="R8" s="278"/>
      <c r="S8" s="55"/>
      <c r="T8" s="278"/>
      <c r="U8" s="278"/>
      <c r="V8" s="278"/>
      <c r="W8" s="278"/>
      <c r="X8" s="55"/>
      <c r="Y8" s="278"/>
      <c r="Z8" s="278"/>
      <c r="AA8" s="278"/>
      <c r="AB8" s="55"/>
      <c r="AC8" s="278"/>
      <c r="AD8" s="278"/>
      <c r="AE8" s="56" t="s">
        <v>1</v>
      </c>
      <c r="AF8" s="56" t="s">
        <v>401</v>
      </c>
      <c r="AG8" s="56" t="s">
        <v>319</v>
      </c>
      <c r="AH8" s="278"/>
      <c r="AJ8" s="278"/>
      <c r="AK8" s="278"/>
      <c r="AL8" s="260" t="s">
        <v>670</v>
      </c>
      <c r="AM8" s="253"/>
      <c r="AN8" s="186"/>
      <c r="AO8" s="186"/>
      <c r="AP8" s="262">
        <v>0.05</v>
      </c>
    </row>
    <row r="9" spans="1:42" ht="14.1" customHeight="1">
      <c r="F9" t="s">
        <v>474</v>
      </c>
      <c r="AN9" s="34"/>
      <c r="AO9" s="34"/>
      <c r="AP9" s="34"/>
    </row>
    <row r="10" spans="1:42" ht="14.1" customHeight="1">
      <c r="B10" s="106" t="s">
        <v>502</v>
      </c>
      <c r="D10" s="49"/>
      <c r="E10" s="49"/>
      <c r="F10" s="130">
        <f>SUM(G10:H10)</f>
        <v>70.447052880172407</v>
      </c>
      <c r="G10" s="49">
        <v>38.885333558651013</v>
      </c>
      <c r="H10" s="49">
        <v>31.561719321521402</v>
      </c>
      <c r="I10" s="49"/>
      <c r="J10" s="9">
        <f>SUM(K10:L10)</f>
        <v>516.63924816976009</v>
      </c>
      <c r="K10" s="9">
        <v>282.07085384376006</v>
      </c>
      <c r="L10" s="9">
        <v>234.568394326</v>
      </c>
      <c r="M10" s="9"/>
      <c r="N10" s="130">
        <f>SUM(O10:R10)</f>
        <v>42.331700162355752</v>
      </c>
      <c r="O10" s="49">
        <v>14.006981502836402</v>
      </c>
      <c r="P10" s="49">
        <v>11.131364598429178</v>
      </c>
      <c r="Q10" s="49">
        <v>13.027207110649348</v>
      </c>
      <c r="R10" s="49">
        <v>4.1661469504408251</v>
      </c>
      <c r="S10" s="49"/>
      <c r="T10" s="130">
        <f>SUM(U10:W10)</f>
        <v>20.936609527068185</v>
      </c>
      <c r="U10" s="49">
        <v>10.41371324237288</v>
      </c>
      <c r="V10" s="49">
        <v>7.4255080530701276</v>
      </c>
      <c r="W10" s="49">
        <v>3.0973882316251773</v>
      </c>
      <c r="X10" s="49"/>
      <c r="Y10" s="130">
        <f>SUM(Z10:AA10)</f>
        <v>25.055111618445864</v>
      </c>
      <c r="Z10" s="49">
        <v>19.008711618445862</v>
      </c>
      <c r="AA10" s="49">
        <v>6.0464000000000002</v>
      </c>
      <c r="AB10" s="49"/>
      <c r="AC10" s="130">
        <f>SUM(AD10:AE10,AH10)</f>
        <v>7.936848516848956</v>
      </c>
      <c r="AD10" s="49">
        <v>1.8926768784358732</v>
      </c>
      <c r="AE10" s="130">
        <f>SUM(AF10:AG10)</f>
        <v>3.6271588523669189</v>
      </c>
      <c r="AF10" s="49">
        <v>1.6924251230625604</v>
      </c>
      <c r="AG10" s="49">
        <f>V10/AO10</f>
        <v>1.9347337293043583</v>
      </c>
      <c r="AH10" s="49">
        <f>(U10+W10)/AN10</f>
        <v>2.4170127860461639</v>
      </c>
      <c r="AJ10" s="130">
        <f>SUM(AK10,AL10,AG10,AH10)</f>
        <v>7.9368485168489551</v>
      </c>
      <c r="AK10" s="49">
        <v>1.8926768784358732</v>
      </c>
      <c r="AL10" s="49">
        <v>1.6924251230625604</v>
      </c>
      <c r="AM10" s="49"/>
      <c r="AN10" s="159">
        <v>5.59</v>
      </c>
      <c r="AO10" s="159">
        <v>3.8380000000000001</v>
      </c>
      <c r="AP10" s="34"/>
    </row>
    <row r="11" spans="1:42" ht="14.1" customHeight="1">
      <c r="B11" s="106" t="s">
        <v>476</v>
      </c>
      <c r="D11" s="160">
        <v>1.38</v>
      </c>
      <c r="E11" s="160"/>
      <c r="F11" s="130">
        <f t="shared" ref="F11:F17" si="0">SUM(G11:H11)</f>
        <v>99.154549520152329</v>
      </c>
      <c r="G11" s="49">
        <f>F52/5</f>
        <v>67.309628809641609</v>
      </c>
      <c r="H11" s="49">
        <f t="shared" ref="H11:H17" si="1">AG31*F$90</f>
        <v>31.844920710510717</v>
      </c>
      <c r="I11" s="49"/>
      <c r="J11" s="9">
        <f t="shared" ref="J11:J17" si="2">SUM(K11:L11)</f>
        <v>406.18600677584004</v>
      </c>
      <c r="K11" s="9">
        <f>F62/5</f>
        <v>194.88940472784006</v>
      </c>
      <c r="L11" s="9">
        <f>F72/5</f>
        <v>211.29660204800001</v>
      </c>
      <c r="M11" s="9"/>
      <c r="N11" s="130">
        <f t="shared" ref="N11:N17" si="3">SUM(O11:R11)</f>
        <v>50.092248478101865</v>
      </c>
      <c r="O11" s="110">
        <f>SUM($H52*($G$41+$H$41),$J52*($H$41+$J$41),$K52*($J$41+$K$41),$L52*($K$41+$L$41),$N52*($L$41+$N$41),$O52*($N$41+$O$41),$P52*($O$41+$P$41),$Q52*($P$41+$Q$41),$R52*($Q$41+$R$41),$T52*($R$41+$T$41),$U52*($T$41+$U$41),$V52*($U$41+$V$41),$W52*($V$41+$W$41),$Y52*($W$41+$Y$41),$Z52*($Y$41+$Z$41),$AA52*($Z$41+$AA$41),$AC52*($AA$41+$AC$41),$AD52*($AC$41+$AD$41),$AE52*($AD$41+$AE$41))/2/5/1000</f>
        <v>25.472169102162965</v>
      </c>
      <c r="P11" s="110">
        <f>SUM($H62*($G$41+$H$41),$J62*($H$41+$J$41),$K62*($J$41+$K$41),$L62*($K$41+$L$41),$N62*($L$41+$N$41),$O62*($N$41+$O$41),$P62*($O$41+$P$41),$Q62*($P$41+$Q$41),$R62*($Q$41+$R$41),$T62*($R$41+$T$41),$U62*($T$41+$U$41),$V62*($U$41+$V$41),$W62*($V$41+$W$41),$Y62*($W$41+$Y$41),$Z62*($Y$41+$Z$41),$AA62*($Z$41+$AA$41),$AC62*($AA$41+$AC$41),$AD62*($AC$41+$AD$41),$AE62*($AD$41+$AE$41))*$F$88/2/5/1000</f>
        <v>8.1339971268373787</v>
      </c>
      <c r="Q11" s="110">
        <f>SUM($H72*($G$41+$H$41),$J72*($H$41+$J$41),$K72*($J$41+$K$41),$L72*($K$41+$L$41),$N72*($L$41+$N$41),$O72*($N$41+$O$41),$P72*($O$41+$P$41),$Q72*($P$41+$Q$41),$R72*($Q$41+$R$41),$T72*($R$41+$T$41),$U72*($T$41+$U$41),$V72*($U$41+$V$41),$W72*($V$41+$W$41),$Y72*($W$41+$Y$41),$Z72*($Y$41+$Z$41),$AA72*($Z$41+$AA$41),$AC72*($AA$41+$AC$41),$AD72*($AC$41+$AD$41),$AE72*($AD$41+$AE$41))*$F$89/2/5/1000</f>
        <v>12.282552715314102</v>
      </c>
      <c r="R11" s="49">
        <f t="shared" ref="R11:R17" si="4">H11*F$91/1000</f>
        <v>4.2035295337874148</v>
      </c>
      <c r="S11" s="49"/>
      <c r="T11" s="49">
        <f t="shared" ref="T11:T17" si="5">SUM(U11:W11)</f>
        <v>29.063925324189682</v>
      </c>
      <c r="U11" s="49">
        <f t="shared" ref="U11:U17" si="6">O11*L$91</f>
        <v>18.937689368508192</v>
      </c>
      <c r="V11" s="49">
        <f t="shared" ref="V11:W17" si="7">Q11*N$91</f>
        <v>7.0010550477290376</v>
      </c>
      <c r="W11" s="49">
        <f t="shared" si="7"/>
        <v>3.1251809079524544</v>
      </c>
      <c r="X11" s="49"/>
      <c r="Y11" s="130">
        <f t="shared" ref="Y11:Y17" si="8">SUM(Z11:AA11)</f>
        <v>39.004301861646823</v>
      </c>
      <c r="Z11" s="49">
        <f t="shared" ref="Z11:Z17" si="9">G11*H$91</f>
        <v>32.903647881977932</v>
      </c>
      <c r="AA11" s="49">
        <f t="shared" ref="AA11:AA17" si="10">H11*J$91</f>
        <v>6.1006539796688886</v>
      </c>
      <c r="AB11" s="49"/>
      <c r="AC11" s="49">
        <f t="shared" ref="AC11:AC17" si="11">SUM(AD11:AE11,AH11)</f>
        <v>7.237976058951336</v>
      </c>
      <c r="AD11" s="49">
        <f t="shared" ref="AD11:AD17" si="12">SUMPRODUCT(G32:H32,IF($D$4="従来",G$86:H$86,IF($D$4="省力",G$87:H$87)))/5/1000</f>
        <v>1.5403185651576388</v>
      </c>
      <c r="AE11" s="130">
        <f t="shared" ref="AE11:AE17" si="13">SUM(AF11:AG11)</f>
        <v>2.7558953116431457</v>
      </c>
      <c r="AF11" s="49">
        <f t="shared" ref="AF11:AF17" si="14">SUMPRODUCT(L62:R62,IF($D$4="従来",L$86:R$86,IF($D$4="省力",L$87:R$87)))/5/1000</f>
        <v>1.1693364283670402</v>
      </c>
      <c r="AG11" s="49">
        <f t="shared" ref="AG11:AG17" si="15">V11/AO11</f>
        <v>1.5865588832761055</v>
      </c>
      <c r="AH11" s="49">
        <f t="shared" ref="AH11:AH17" si="16">(U11+W11)/AN11</f>
        <v>2.9417621821505513</v>
      </c>
      <c r="AJ11" s="49">
        <f t="shared" ref="AJ11:AJ17" si="17">SUM(AK11,AL11,AG11,AH11)</f>
        <v>7.237976058951336</v>
      </c>
      <c r="AK11" s="49">
        <f>AD11*AP11</f>
        <v>1.5403185651576388</v>
      </c>
      <c r="AL11" s="49">
        <f>AF11*AP11</f>
        <v>1.1693364283670402</v>
      </c>
      <c r="AM11" s="49"/>
      <c r="AN11" s="159">
        <v>7.4998823529411762</v>
      </c>
      <c r="AO11" s="159">
        <v>4.4127294117647056</v>
      </c>
      <c r="AP11" s="263">
        <f>1</f>
        <v>1</v>
      </c>
    </row>
    <row r="12" spans="1:42" ht="14.1" customHeight="1">
      <c r="B12" s="106" t="s">
        <v>477</v>
      </c>
      <c r="D12" s="160">
        <v>1.55</v>
      </c>
      <c r="E12" s="160"/>
      <c r="F12" s="130">
        <f t="shared" si="0"/>
        <v>118.55198977083404</v>
      </c>
      <c r="G12" s="49">
        <f t="shared" ref="G12:G17" si="18">F53/5</f>
        <v>86.779667425865412</v>
      </c>
      <c r="H12" s="49">
        <f t="shared" si="1"/>
        <v>31.772322344968629</v>
      </c>
      <c r="I12" s="49"/>
      <c r="J12" s="9">
        <f t="shared" si="2"/>
        <v>305.32446944751405</v>
      </c>
      <c r="K12" s="9">
        <f t="shared" ref="K12:K17" si="19">F63/5</f>
        <v>136.02447560480005</v>
      </c>
      <c r="L12" s="9">
        <f t="shared" ref="L12:L17" si="20">F73/5</f>
        <v>169.299993842714</v>
      </c>
      <c r="M12" s="9"/>
      <c r="N12" s="130">
        <f t="shared" si="3"/>
        <v>53.666090864154974</v>
      </c>
      <c r="O12" s="49">
        <f t="shared" ref="O12:O17" si="21">SUM($H53*($G$41+$H$41),$J53*($H$41+$J$41),$K53*($J$41+$K$41),$L53*($K$41+$L$41),$N53*($L$41+$N$41),$O53*($N$41+$O$41),$P53*($O$41+$P$41),$Q53*($P$41+$Q$41),$R53*($Q$41+$R$41),$T53*($R$41+$T$41),$U53*($T$41+$U$41),$V53*($U$41+$V$41),$W53*($V$41+$W$41),$Y53*($W$41+$Y$41),$Z53*($Y$41+$Z$41),$AA53*($Z$41+$AA$41),$AC53*($AA$41+$AC$41),$AD53*($AC$41+$AD$41),$AE53*($AD$41+$AE$41))/2/5/1000</f>
        <v>33.802988604519761</v>
      </c>
      <c r="P12" s="49">
        <f t="shared" ref="P12:P17" si="22">SUM($H63*($G$41+$H$41),$J63*($H$41+$J$41),$K63*($J$41+$K$41),$L63*($K$41+$L$41),$N63*($L$41+$N$41),$O63*($N$41+$O$41),$P63*($O$41+$P$41),$Q63*($P$41+$Q$41),$R63*($Q$41+$R$41),$T63*($R$41+$T$41),$U63*($T$41+$U$41),$V63*($U$41+$V$41),$W63*($V$41+$W$41),$Y63*($W$41+$Y$41),$Z63*($Y$41+$Z$41),$AA63*($Z$41+$AA$41),$AC63*($AA$41+$AC$41),$AD63*($AC$41+$AD$41),$AE63*($AD$41+$AE$41))*$F$88/2/5/1000</f>
        <v>5.6787433076998912</v>
      </c>
      <c r="Q12" s="49">
        <f t="shared" ref="Q12:Q17" si="23">SUM($H73*($G$41+$H$41),$J73*($H$41+$J$41),$K73*($J$41+$K$41),$L73*($K$41+$L$41),$N73*($L$41+$N$41),$O73*($N$41+$O$41),$P73*($O$41+$P$41),$Q73*($P$41+$Q$41),$R73*($Q$41+$R$41),$T73*($R$41+$T$41),$U73*($T$41+$U$41),$V73*($U$41+$V$41),$W73*($V$41+$W$41),$Y73*($W$41+$Y$41),$Z73*($Y$41+$Z$41),$AA73*($Z$41+$AA$41),$AC73*($AA$41+$AC$41),$AD73*($AC$41+$AD$41),$AE73*($AD$41+$AE$41))*$F$89/2/5/1000</f>
        <v>9.9904124023994658</v>
      </c>
      <c r="R12" s="49">
        <f t="shared" si="4"/>
        <v>4.193946549535859</v>
      </c>
      <c r="S12" s="49"/>
      <c r="T12" s="49">
        <f t="shared" si="5"/>
        <v>33.943961021936126</v>
      </c>
      <c r="U12" s="49">
        <f t="shared" si="6"/>
        <v>25.131369666718296</v>
      </c>
      <c r="V12" s="49">
        <f t="shared" si="7"/>
        <v>5.6945350693676948</v>
      </c>
      <c r="W12" s="49">
        <f t="shared" si="7"/>
        <v>3.1180562858501357</v>
      </c>
      <c r="X12" s="49"/>
      <c r="Y12" s="130">
        <f t="shared" si="8"/>
        <v>48.50813017505287</v>
      </c>
      <c r="Z12" s="49">
        <f t="shared" si="9"/>
        <v>42.421384143583566</v>
      </c>
      <c r="AA12" s="49">
        <f t="shared" si="10"/>
        <v>6.0867460314692998</v>
      </c>
      <c r="AB12" s="49"/>
      <c r="AC12" s="49">
        <f t="shared" si="11"/>
        <v>6.797873009986569</v>
      </c>
      <c r="AD12" s="49">
        <f t="shared" si="12"/>
        <v>1.9708146691583783</v>
      </c>
      <c r="AE12" s="130">
        <f t="shared" si="13"/>
        <v>1.8248062703501762</v>
      </c>
      <c r="AF12" s="49">
        <f t="shared" si="14"/>
        <v>0.81614685362880002</v>
      </c>
      <c r="AG12" s="49">
        <f t="shared" si="15"/>
        <v>1.0086594167213763</v>
      </c>
      <c r="AH12" s="49">
        <f t="shared" si="16"/>
        <v>3.0022520704780149</v>
      </c>
      <c r="AJ12" s="49">
        <f t="shared" si="17"/>
        <v>6.658524933847211</v>
      </c>
      <c r="AK12" s="49">
        <f t="shared" ref="AK12:AK17" si="24">AD12*AP12</f>
        <v>1.8722739357004594</v>
      </c>
      <c r="AL12" s="49">
        <f t="shared" ref="AL12:AL17" si="25">AF12*AP12</f>
        <v>0.77533951094735998</v>
      </c>
      <c r="AM12" s="49"/>
      <c r="AN12" s="159">
        <v>9.409411764705883</v>
      </c>
      <c r="AO12" s="159">
        <v>5.6456470588235295</v>
      </c>
      <c r="AP12" s="263">
        <f t="shared" ref="AP12:AP17" si="26">AP11*(1-AP$8)</f>
        <v>0.95</v>
      </c>
    </row>
    <row r="13" spans="1:42" ht="14.1" customHeight="1">
      <c r="B13" s="106" t="s">
        <v>478</v>
      </c>
      <c r="D13" s="160">
        <v>1.48</v>
      </c>
      <c r="E13" s="160"/>
      <c r="F13" s="130">
        <f t="shared" si="0"/>
        <v>121.20252546245976</v>
      </c>
      <c r="G13" s="49">
        <f t="shared" si="18"/>
        <v>89.502635977120136</v>
      </c>
      <c r="H13" s="49">
        <f t="shared" si="1"/>
        <v>31.699889485339625</v>
      </c>
      <c r="I13" s="49"/>
      <c r="J13" s="9">
        <f t="shared" si="2"/>
        <v>223.35203272926617</v>
      </c>
      <c r="K13" s="9">
        <f t="shared" si="19"/>
        <v>100.42549261280003</v>
      </c>
      <c r="L13" s="9">
        <f t="shared" si="20"/>
        <v>122.92654011646614</v>
      </c>
      <c r="M13" s="9"/>
      <c r="N13" s="130">
        <f t="shared" si="3"/>
        <v>51.436290014618066</v>
      </c>
      <c r="O13" s="49">
        <f t="shared" si="21"/>
        <v>35.871354942673619</v>
      </c>
      <c r="P13" s="49">
        <f t="shared" si="22"/>
        <v>4.0635688573109539</v>
      </c>
      <c r="Q13" s="49">
        <f t="shared" si="23"/>
        <v>7.3169808025686676</v>
      </c>
      <c r="R13" s="49">
        <f t="shared" si="4"/>
        <v>4.1843854120648301</v>
      </c>
      <c r="S13" s="49"/>
      <c r="T13" s="49">
        <f t="shared" si="5"/>
        <v>33.950756491044054</v>
      </c>
      <c r="U13" s="49">
        <f t="shared" si="6"/>
        <v>26.669129527495542</v>
      </c>
      <c r="V13" s="49">
        <f t="shared" si="7"/>
        <v>4.1706790574641399</v>
      </c>
      <c r="W13" s="49">
        <f t="shared" si="7"/>
        <v>3.1109479060843714</v>
      </c>
      <c r="X13" s="49"/>
      <c r="Y13" s="130">
        <f t="shared" si="8"/>
        <v>49.825350241499706</v>
      </c>
      <c r="Z13" s="49">
        <f t="shared" si="9"/>
        <v>43.752480451625466</v>
      </c>
      <c r="AA13" s="49">
        <f t="shared" si="10"/>
        <v>6.0728697898742432</v>
      </c>
      <c r="AB13" s="49"/>
      <c r="AC13" s="49">
        <f t="shared" si="11"/>
        <v>5.9363774092146482</v>
      </c>
      <c r="AD13" s="49">
        <f t="shared" si="12"/>
        <v>2.0834441696778594</v>
      </c>
      <c r="AE13" s="130">
        <f t="shared" si="13"/>
        <v>1.2176653390065797</v>
      </c>
      <c r="AF13" s="49">
        <f t="shared" si="14"/>
        <v>0.60255295567680001</v>
      </c>
      <c r="AG13" s="49">
        <f t="shared" si="15"/>
        <v>0.61511238332977969</v>
      </c>
      <c r="AH13" s="49">
        <f t="shared" si="16"/>
        <v>2.6352679005302093</v>
      </c>
      <c r="AJ13" s="49">
        <f t="shared" si="17"/>
        <v>5.6744926894925687</v>
      </c>
      <c r="AK13" s="49">
        <f t="shared" si="24"/>
        <v>1.8803083631342681</v>
      </c>
      <c r="AL13" s="49">
        <f t="shared" si="25"/>
        <v>0.54380404249831193</v>
      </c>
      <c r="AM13" s="49"/>
      <c r="AN13" s="159">
        <v>11.300588235294118</v>
      </c>
      <c r="AO13" s="159">
        <v>6.7803529411764698</v>
      </c>
      <c r="AP13" s="263">
        <f t="shared" si="26"/>
        <v>0.90249999999999997</v>
      </c>
    </row>
    <row r="14" spans="1:42" ht="14.1" customHeight="1">
      <c r="B14" s="106" t="s">
        <v>534</v>
      </c>
      <c r="D14" s="160">
        <v>1.48</v>
      </c>
      <c r="E14" s="160"/>
      <c r="F14" s="130">
        <f t="shared" si="0"/>
        <v>124.15639830451974</v>
      </c>
      <c r="G14" s="49">
        <f t="shared" si="18"/>
        <v>92.528776550207652</v>
      </c>
      <c r="H14" s="49">
        <f t="shared" si="1"/>
        <v>31.627621754312088</v>
      </c>
      <c r="I14" s="49"/>
      <c r="J14" s="9">
        <f t="shared" si="2"/>
        <v>162.87179091029398</v>
      </c>
      <c r="K14" s="9">
        <f t="shared" si="19"/>
        <v>77.125870401920025</v>
      </c>
      <c r="L14" s="9">
        <f t="shared" si="20"/>
        <v>85.745920508373956</v>
      </c>
      <c r="M14" s="9"/>
      <c r="N14" s="130">
        <f t="shared" si="3"/>
        <v>50.364178945185756</v>
      </c>
      <c r="O14" s="49">
        <f t="shared" si="21"/>
        <v>38.06806594312031</v>
      </c>
      <c r="P14" s="49">
        <f t="shared" si="22"/>
        <v>2.9886252735226324</v>
      </c>
      <c r="Q14" s="49">
        <f t="shared" si="23"/>
        <v>5.1326416569736262</v>
      </c>
      <c r="R14" s="49">
        <f t="shared" si="4"/>
        <v>4.1748460715691955</v>
      </c>
      <c r="S14" s="49"/>
      <c r="T14" s="49">
        <f t="shared" si="5"/>
        <v>34.331770745455664</v>
      </c>
      <c r="U14" s="49">
        <f t="shared" si="6"/>
        <v>28.302309269353952</v>
      </c>
      <c r="V14" s="49">
        <f t="shared" si="7"/>
        <v>2.9256057444749666</v>
      </c>
      <c r="W14" s="49">
        <f t="shared" si="7"/>
        <v>3.1038557316267426</v>
      </c>
      <c r="X14" s="49"/>
      <c r="Y14" s="130">
        <f t="shared" si="8"/>
        <v>51.290804593663815</v>
      </c>
      <c r="Z14" s="49">
        <f t="shared" si="9"/>
        <v>45.231779411063137</v>
      </c>
      <c r="AA14" s="49">
        <f t="shared" si="10"/>
        <v>6.0590251826006796</v>
      </c>
      <c r="AB14" s="49"/>
      <c r="AC14" s="49">
        <f t="shared" si="11"/>
        <v>5.3570763382102964</v>
      </c>
      <c r="AD14" s="49">
        <f t="shared" si="12"/>
        <v>2.1439556124687309</v>
      </c>
      <c r="AE14" s="130">
        <f t="shared" si="13"/>
        <v>0.83238049111803958</v>
      </c>
      <c r="AF14" s="49">
        <f t="shared" si="14"/>
        <v>0.46275522241152006</v>
      </c>
      <c r="AG14" s="49">
        <f t="shared" si="15"/>
        <v>0.36962526870651952</v>
      </c>
      <c r="AH14" s="49">
        <f t="shared" si="16"/>
        <v>2.3807402346235254</v>
      </c>
      <c r="AJ14" s="49">
        <f t="shared" si="17"/>
        <v>4.9852942053854994</v>
      </c>
      <c r="AK14" s="49">
        <f t="shared" si="24"/>
        <v>1.8381739432403779</v>
      </c>
      <c r="AL14" s="49">
        <f t="shared" si="25"/>
        <v>0.39675475881507694</v>
      </c>
      <c r="AM14" s="49"/>
      <c r="AN14" s="159">
        <v>13.191764705882353</v>
      </c>
      <c r="AO14" s="159">
        <v>7.915058823529411</v>
      </c>
      <c r="AP14" s="263">
        <f t="shared" si="26"/>
        <v>0.85737499999999989</v>
      </c>
    </row>
    <row r="15" spans="1:42" ht="14.1" customHeight="1">
      <c r="B15" s="106" t="s">
        <v>535</v>
      </c>
      <c r="D15" s="160">
        <v>1.48</v>
      </c>
      <c r="E15" s="160"/>
      <c r="F15" s="130">
        <f t="shared" si="0"/>
        <v>124.30016600061744</v>
      </c>
      <c r="G15" s="49">
        <f t="shared" si="18"/>
        <v>92.744647225182874</v>
      </c>
      <c r="H15" s="49">
        <f t="shared" si="1"/>
        <v>31.55551877543456</v>
      </c>
      <c r="I15" s="49"/>
      <c r="J15" s="9">
        <f t="shared" si="2"/>
        <v>130.94367536792737</v>
      </c>
      <c r="K15" s="9">
        <f t="shared" si="19"/>
        <v>72.041079236080833</v>
      </c>
      <c r="L15" s="9">
        <f t="shared" si="20"/>
        <v>58.902596131846543</v>
      </c>
      <c r="M15" s="9"/>
      <c r="N15" s="130">
        <f t="shared" si="3"/>
        <v>49.222908286715906</v>
      </c>
      <c r="O15" s="49">
        <f t="shared" si="21"/>
        <v>38.985395959800883</v>
      </c>
      <c r="P15" s="49">
        <f t="shared" si="22"/>
        <v>2.5520692502507307</v>
      </c>
      <c r="Q15" s="49">
        <f t="shared" si="23"/>
        <v>3.5201145983069355</v>
      </c>
      <c r="R15" s="49">
        <f t="shared" si="4"/>
        <v>4.1653284783573614</v>
      </c>
      <c r="S15" s="49"/>
      <c r="T15" s="49">
        <f t="shared" si="5"/>
        <v>34.087557911086328</v>
      </c>
      <c r="U15" s="49">
        <f t="shared" si="6"/>
        <v>28.984312864518134</v>
      </c>
      <c r="V15" s="49">
        <f t="shared" si="7"/>
        <v>2.0064653210349532</v>
      </c>
      <c r="W15" s="49">
        <f t="shared" si="7"/>
        <v>3.0967797255332439</v>
      </c>
      <c r="X15" s="49"/>
      <c r="Y15" s="130">
        <f t="shared" si="8"/>
        <v>51.382517798003029</v>
      </c>
      <c r="Z15" s="49">
        <f t="shared" si="9"/>
        <v>45.337305660472673</v>
      </c>
      <c r="AA15" s="49">
        <f t="shared" si="10"/>
        <v>6.0452121375303554</v>
      </c>
      <c r="AB15" s="49"/>
      <c r="AC15" s="49">
        <f t="shared" si="11"/>
        <v>4.9383634358902118</v>
      </c>
      <c r="AD15" s="49">
        <f t="shared" si="12"/>
        <v>2.1574237550857527</v>
      </c>
      <c r="AE15" s="130">
        <f t="shared" si="13"/>
        <v>0.65396111510548693</v>
      </c>
      <c r="AF15" s="49">
        <f t="shared" si="14"/>
        <v>0.43224647541648492</v>
      </c>
      <c r="AG15" s="49">
        <f t="shared" si="15"/>
        <v>0.22171463968900207</v>
      </c>
      <c r="AH15" s="49">
        <f t="shared" si="16"/>
        <v>2.1269785656989719</v>
      </c>
      <c r="AJ15" s="49">
        <f t="shared" si="17"/>
        <v>4.4579957935709871</v>
      </c>
      <c r="AK15" s="49">
        <f t="shared" si="24"/>
        <v>1.7572351324158146</v>
      </c>
      <c r="AL15" s="49">
        <f t="shared" si="25"/>
        <v>0.35206745576719828</v>
      </c>
      <c r="AM15" s="49"/>
      <c r="AN15" s="159">
        <v>15.082941176470587</v>
      </c>
      <c r="AO15" s="159">
        <v>9.0497647058823514</v>
      </c>
      <c r="AP15" s="263">
        <f t="shared" si="26"/>
        <v>0.81450624999999988</v>
      </c>
    </row>
    <row r="16" spans="1:42" ht="14.1" customHeight="1">
      <c r="B16" s="106" t="s">
        <v>536</v>
      </c>
      <c r="D16" s="160">
        <v>1.48</v>
      </c>
      <c r="E16" s="160"/>
      <c r="F16" s="130">
        <f t="shared" si="0"/>
        <v>122.59611119571289</v>
      </c>
      <c r="G16" s="49">
        <f t="shared" si="18"/>
        <v>91.112531022599086</v>
      </c>
      <c r="H16" s="49">
        <f t="shared" si="1"/>
        <v>31.483580173113811</v>
      </c>
      <c r="I16" s="49"/>
      <c r="J16" s="9">
        <f t="shared" si="2"/>
        <v>118.82825748753413</v>
      </c>
      <c r="K16" s="9">
        <f t="shared" si="19"/>
        <v>77.843895978474748</v>
      </c>
      <c r="L16" s="9">
        <f t="shared" si="20"/>
        <v>40.984361509059383</v>
      </c>
      <c r="M16" s="9"/>
      <c r="N16" s="130">
        <f t="shared" si="3"/>
        <v>48.040091220425587</v>
      </c>
      <c r="O16" s="49">
        <f t="shared" si="21"/>
        <v>38.915891709987235</v>
      </c>
      <c r="P16" s="49">
        <f t="shared" si="22"/>
        <v>2.559592181559323</v>
      </c>
      <c r="Q16" s="49">
        <f t="shared" si="23"/>
        <v>2.4087747460280049</v>
      </c>
      <c r="R16" s="49">
        <f t="shared" si="4"/>
        <v>4.1558325828510236</v>
      </c>
      <c r="S16" s="49"/>
      <c r="T16" s="49">
        <f t="shared" si="5"/>
        <v>33.395360280396289</v>
      </c>
      <c r="U16" s="49">
        <f t="shared" si="6"/>
        <v>28.93263882421623</v>
      </c>
      <c r="V16" s="49">
        <f t="shared" si="7"/>
        <v>1.3730016052359626</v>
      </c>
      <c r="W16" s="49">
        <f t="shared" si="7"/>
        <v>3.0897198509440957</v>
      </c>
      <c r="X16" s="49"/>
      <c r="Y16" s="130">
        <f t="shared" si="8"/>
        <v>50.57089234206412</v>
      </c>
      <c r="Z16" s="49">
        <f t="shared" si="9"/>
        <v>44.539461759354687</v>
      </c>
      <c r="AA16" s="49">
        <f t="shared" si="10"/>
        <v>6.0314305827094312</v>
      </c>
      <c r="AB16" s="49"/>
      <c r="AC16" s="49">
        <f t="shared" si="11"/>
        <v>4.6180758837531979</v>
      </c>
      <c r="AD16" s="49">
        <f t="shared" si="12"/>
        <v>2.1296588565582653</v>
      </c>
      <c r="AE16" s="130">
        <f t="shared" si="13"/>
        <v>0.60187662839494149</v>
      </c>
      <c r="AF16" s="49">
        <f t="shared" si="14"/>
        <v>0.46706337587084851</v>
      </c>
      <c r="AG16" s="49">
        <f t="shared" si="15"/>
        <v>0.13481325252409301</v>
      </c>
      <c r="AH16" s="49">
        <f t="shared" si="16"/>
        <v>1.8865403987999916</v>
      </c>
      <c r="AJ16" s="49">
        <f t="shared" si="17"/>
        <v>4.0306478147601768</v>
      </c>
      <c r="AK16" s="49">
        <f t="shared" si="24"/>
        <v>1.6478894265828323</v>
      </c>
      <c r="AL16" s="49">
        <f t="shared" si="25"/>
        <v>0.36140473685325997</v>
      </c>
      <c r="AM16" s="49"/>
      <c r="AN16" s="159">
        <v>16.974117647058822</v>
      </c>
      <c r="AO16" s="159">
        <v>10.184470588235293</v>
      </c>
      <c r="AP16" s="263">
        <f t="shared" si="26"/>
        <v>0.77378093749999988</v>
      </c>
    </row>
    <row r="17" spans="2:42" ht="14.1" customHeight="1">
      <c r="B17" s="105" t="s">
        <v>537</v>
      </c>
      <c r="D17" s="163">
        <v>1.48</v>
      </c>
      <c r="E17" s="163"/>
      <c r="F17" s="164">
        <f t="shared" si="0"/>
        <v>119.8018952968367</v>
      </c>
      <c r="G17" s="50">
        <f t="shared" si="18"/>
        <v>88.390089724223841</v>
      </c>
      <c r="H17" s="50">
        <f t="shared" si="1"/>
        <v>31.411805572612863</v>
      </c>
      <c r="I17" s="50"/>
      <c r="J17" s="10">
        <f t="shared" si="2"/>
        <v>119.79565799400153</v>
      </c>
      <c r="K17" s="10">
        <f t="shared" si="19"/>
        <v>89.351882106175083</v>
      </c>
      <c r="L17" s="10">
        <f t="shared" si="20"/>
        <v>30.443775887826444</v>
      </c>
      <c r="M17" s="10"/>
      <c r="N17" s="164">
        <f t="shared" si="3"/>
        <v>46.977517022810311</v>
      </c>
      <c r="O17" s="50">
        <f t="shared" si="21"/>
        <v>38.165048537140208</v>
      </c>
      <c r="P17" s="50">
        <f t="shared" si="22"/>
        <v>2.9075401077451275</v>
      </c>
      <c r="Q17" s="50">
        <f t="shared" si="23"/>
        <v>1.7585700423400747</v>
      </c>
      <c r="R17" s="50">
        <f t="shared" si="4"/>
        <v>4.1463583355848979</v>
      </c>
      <c r="S17" s="50"/>
      <c r="T17" s="50">
        <f t="shared" si="5"/>
        <v>32.459473517040131</v>
      </c>
      <c r="U17" s="50">
        <f t="shared" si="6"/>
        <v>28.374412521822741</v>
      </c>
      <c r="V17" s="50">
        <f t="shared" si="7"/>
        <v>1.0023849241338425</v>
      </c>
      <c r="W17" s="50">
        <f t="shared" si="7"/>
        <v>3.0826760710835464</v>
      </c>
      <c r="X17" s="50"/>
      <c r="Y17" s="164">
        <f t="shared" si="8"/>
        <v>49.226303640028476</v>
      </c>
      <c r="Z17" s="50">
        <f t="shared" si="9"/>
        <v>43.208623193680374</v>
      </c>
      <c r="AA17" s="50">
        <f t="shared" si="10"/>
        <v>6.017680446348102</v>
      </c>
      <c r="AB17" s="50"/>
      <c r="AC17" s="50">
        <f t="shared" si="11"/>
        <v>4.3690426725695017</v>
      </c>
      <c r="AD17" s="50">
        <f t="shared" si="12"/>
        <v>2.0769168737954455</v>
      </c>
      <c r="AE17" s="164">
        <f t="shared" si="13"/>
        <v>0.62466764006554421</v>
      </c>
      <c r="AF17" s="50">
        <f t="shared" si="14"/>
        <v>0.53611129263705048</v>
      </c>
      <c r="AG17" s="50">
        <f t="shared" si="15"/>
        <v>8.8556347428493679E-2</v>
      </c>
      <c r="AH17" s="50">
        <f t="shared" si="16"/>
        <v>1.6674581587085122</v>
      </c>
      <c r="AJ17" s="50">
        <f t="shared" si="17"/>
        <v>3.6768303212562463</v>
      </c>
      <c r="AK17" s="50">
        <f t="shared" si="24"/>
        <v>1.5267247514292581</v>
      </c>
      <c r="AL17" s="50">
        <f t="shared" si="25"/>
        <v>0.39409106368998198</v>
      </c>
      <c r="AN17" s="187">
        <v>18.865294117647057</v>
      </c>
      <c r="AO17" s="187">
        <v>11.319176470588234</v>
      </c>
      <c r="AP17" s="264">
        <f t="shared" si="26"/>
        <v>0.7350918906249998</v>
      </c>
    </row>
    <row r="18" spans="2:42" ht="14.1" customHeight="1">
      <c r="AN18" s="34"/>
      <c r="AO18" s="34"/>
      <c r="AP18" s="34"/>
    </row>
    <row r="19" spans="2:42" ht="14.1" customHeight="1">
      <c r="F19" t="s">
        <v>479</v>
      </c>
    </row>
    <row r="20" spans="2:42" ht="14.1" customHeight="1">
      <c r="B20" s="106" t="s">
        <v>538</v>
      </c>
      <c r="F20" s="41">
        <f t="shared" ref="F20:AH27" si="27">F10/F$10*100</f>
        <v>100</v>
      </c>
      <c r="G20" s="41">
        <f t="shared" si="27"/>
        <v>100</v>
      </c>
      <c r="H20" s="41">
        <f t="shared" si="27"/>
        <v>100</v>
      </c>
      <c r="I20" s="41"/>
      <c r="J20" s="41">
        <f t="shared" si="27"/>
        <v>100</v>
      </c>
      <c r="K20" s="41">
        <f t="shared" si="27"/>
        <v>100</v>
      </c>
      <c r="L20" s="41">
        <f t="shared" si="27"/>
        <v>100</v>
      </c>
      <c r="M20" s="41"/>
      <c r="N20" s="41">
        <f t="shared" si="27"/>
        <v>100</v>
      </c>
      <c r="O20" s="9">
        <f t="shared" si="27"/>
        <v>100</v>
      </c>
      <c r="P20" s="9">
        <f t="shared" si="27"/>
        <v>100</v>
      </c>
      <c r="Q20" s="9">
        <f t="shared" si="27"/>
        <v>100</v>
      </c>
      <c r="R20" s="9">
        <f t="shared" si="27"/>
        <v>100</v>
      </c>
      <c r="S20" s="9"/>
      <c r="T20" s="9">
        <f t="shared" si="27"/>
        <v>100</v>
      </c>
      <c r="U20" s="9">
        <f t="shared" si="27"/>
        <v>100</v>
      </c>
      <c r="V20" s="9">
        <f t="shared" si="27"/>
        <v>100</v>
      </c>
      <c r="W20" s="9">
        <f t="shared" si="27"/>
        <v>100</v>
      </c>
      <c r="X20" s="9"/>
      <c r="Y20" s="9">
        <f t="shared" si="27"/>
        <v>100</v>
      </c>
      <c r="Z20" s="9">
        <f t="shared" si="27"/>
        <v>100</v>
      </c>
      <c r="AA20" s="9">
        <f t="shared" si="27"/>
        <v>100</v>
      </c>
      <c r="AB20" s="9"/>
      <c r="AC20" s="9">
        <f t="shared" si="27"/>
        <v>100</v>
      </c>
      <c r="AD20" s="9">
        <f t="shared" si="27"/>
        <v>100</v>
      </c>
      <c r="AE20" s="9">
        <f t="shared" si="27"/>
        <v>100</v>
      </c>
      <c r="AF20" s="9">
        <f t="shared" si="27"/>
        <v>100</v>
      </c>
      <c r="AG20" s="9">
        <f t="shared" si="27"/>
        <v>100</v>
      </c>
      <c r="AH20" s="9">
        <f t="shared" si="27"/>
        <v>100</v>
      </c>
      <c r="AJ20" s="9">
        <f t="shared" ref="AJ20:AJ27" si="28">AJ10/AJ$10*100</f>
        <v>100</v>
      </c>
      <c r="AK20" s="9">
        <f t="shared" ref="AK20:AL27" si="29">AK10/AK$10*100</f>
        <v>100</v>
      </c>
      <c r="AL20" s="9">
        <f t="shared" si="29"/>
        <v>100</v>
      </c>
    </row>
    <row r="21" spans="2:42" ht="14.1" customHeight="1">
      <c r="B21" s="106" t="s">
        <v>476</v>
      </c>
      <c r="F21" s="41">
        <f t="shared" si="27"/>
        <v>140.7504579202344</v>
      </c>
      <c r="G21" s="41">
        <f t="shared" si="27"/>
        <v>173.09772772841987</v>
      </c>
      <c r="H21" s="41">
        <f t="shared" si="27"/>
        <v>100.89729392148863</v>
      </c>
      <c r="I21" s="41"/>
      <c r="J21" s="41">
        <f t="shared" si="27"/>
        <v>78.620818726953019</v>
      </c>
      <c r="K21" s="41">
        <f t="shared" si="27"/>
        <v>69.092358204364473</v>
      </c>
      <c r="L21" s="41">
        <f t="shared" si="27"/>
        <v>90.078888357969845</v>
      </c>
      <c r="M21" s="41"/>
      <c r="N21" s="41">
        <f t="shared" si="27"/>
        <v>118.33271115022998</v>
      </c>
      <c r="O21" s="9">
        <f t="shared" si="27"/>
        <v>181.85337859555875</v>
      </c>
      <c r="P21" s="9">
        <f t="shared" si="27"/>
        <v>73.072776072622958</v>
      </c>
      <c r="Q21" s="9">
        <f t="shared" si="27"/>
        <v>94.283852332964642</v>
      </c>
      <c r="R21" s="9">
        <f t="shared" si="27"/>
        <v>100.89729392148863</v>
      </c>
      <c r="S21" s="9"/>
      <c r="T21" s="9">
        <f t="shared" si="27"/>
        <v>138.81868163330833</v>
      </c>
      <c r="U21" s="9">
        <f t="shared" si="27"/>
        <v>181.85337859555878</v>
      </c>
      <c r="V21" s="9">
        <f t="shared" si="27"/>
        <v>94.283852332964656</v>
      </c>
      <c r="W21" s="9">
        <f t="shared" si="27"/>
        <v>100.89729392148863</v>
      </c>
      <c r="X21" s="9"/>
      <c r="Y21" s="9">
        <f t="shared" si="27"/>
        <v>155.67402953787445</v>
      </c>
      <c r="Z21" s="9">
        <f t="shared" si="27"/>
        <v>173.09772772841987</v>
      </c>
      <c r="AA21" s="9">
        <f t="shared" si="27"/>
        <v>100.89729392148863</v>
      </c>
      <c r="AB21" s="9"/>
      <c r="AC21" s="9">
        <f t="shared" si="27"/>
        <v>91.194584898351039</v>
      </c>
      <c r="AD21" s="9">
        <f t="shared" si="27"/>
        <v>81.383070861549982</v>
      </c>
      <c r="AE21" s="9">
        <f t="shared" si="27"/>
        <v>75.979449034738948</v>
      </c>
      <c r="AF21" s="9">
        <f t="shared" si="27"/>
        <v>69.092358204364459</v>
      </c>
      <c r="AG21" s="9">
        <f t="shared" si="27"/>
        <v>82.003991518076219</v>
      </c>
      <c r="AH21" s="9">
        <f t="shared" si="27"/>
        <v>121.71065867478472</v>
      </c>
      <c r="AJ21" s="9">
        <f t="shared" si="28"/>
        <v>91.194584898351039</v>
      </c>
      <c r="AK21" s="9">
        <f t="shared" si="29"/>
        <v>81.383070861549982</v>
      </c>
      <c r="AL21" s="9">
        <f t="shared" si="29"/>
        <v>69.092358204364459</v>
      </c>
    </row>
    <row r="22" spans="2:42" ht="14.1" customHeight="1">
      <c r="B22" s="106" t="s">
        <v>477</v>
      </c>
      <c r="F22" s="41">
        <f t="shared" si="27"/>
        <v>168.28523681819053</v>
      </c>
      <c r="G22" s="41">
        <f t="shared" si="27"/>
        <v>223.16811888722788</v>
      </c>
      <c r="H22" s="41">
        <f t="shared" si="27"/>
        <v>100.66727360858197</v>
      </c>
      <c r="I22" s="41"/>
      <c r="J22" s="41">
        <f t="shared" si="27"/>
        <v>59.098194829206797</v>
      </c>
      <c r="K22" s="41">
        <f t="shared" si="27"/>
        <v>48.223513259595556</v>
      </c>
      <c r="L22" s="41">
        <f t="shared" si="27"/>
        <v>72.175108811728123</v>
      </c>
      <c r="M22" s="41"/>
      <c r="N22" s="41">
        <f t="shared" si="27"/>
        <v>126.77518421969391</v>
      </c>
      <c r="O22" s="9">
        <f t="shared" si="27"/>
        <v>241.32957266827751</v>
      </c>
      <c r="P22" s="9">
        <f t="shared" si="27"/>
        <v>51.015697648617639</v>
      </c>
      <c r="Q22" s="9">
        <f t="shared" si="27"/>
        <v>76.688827601678383</v>
      </c>
      <c r="R22" s="9">
        <f t="shared" si="27"/>
        <v>100.66727360858197</v>
      </c>
      <c r="S22" s="9"/>
      <c r="T22" s="9">
        <f t="shared" si="27"/>
        <v>162.1273061335514</v>
      </c>
      <c r="U22" s="9">
        <f t="shared" si="27"/>
        <v>241.32957266827751</v>
      </c>
      <c r="V22" s="9">
        <f t="shared" si="27"/>
        <v>76.688827601678383</v>
      </c>
      <c r="W22" s="9">
        <f t="shared" si="27"/>
        <v>100.66727360858197</v>
      </c>
      <c r="X22" s="9"/>
      <c r="Y22" s="9">
        <f t="shared" si="27"/>
        <v>193.60572370925149</v>
      </c>
      <c r="Z22" s="9">
        <f t="shared" si="27"/>
        <v>223.16811888722791</v>
      </c>
      <c r="AA22" s="9">
        <f t="shared" si="27"/>
        <v>100.66727360858197</v>
      </c>
      <c r="AB22" s="9"/>
      <c r="AC22" s="9">
        <f t="shared" si="27"/>
        <v>85.649524437256403</v>
      </c>
      <c r="AD22" s="9">
        <f t="shared" si="27"/>
        <v>104.12842739364361</v>
      </c>
      <c r="AE22" s="9">
        <f t="shared" si="27"/>
        <v>50.30952171172185</v>
      </c>
      <c r="AF22" s="9">
        <f t="shared" si="27"/>
        <v>48.223513259595542</v>
      </c>
      <c r="AG22" s="9">
        <f t="shared" si="27"/>
        <v>52.134275711626941</v>
      </c>
      <c r="AH22" s="9">
        <f t="shared" si="27"/>
        <v>124.21333009947399</v>
      </c>
      <c r="AJ22" s="9">
        <f t="shared" si="28"/>
        <v>83.893814020917503</v>
      </c>
      <c r="AK22" s="9">
        <f t="shared" si="29"/>
        <v>98.922006023961416</v>
      </c>
      <c r="AL22" s="9">
        <f t="shared" si="29"/>
        <v>45.812337596615762</v>
      </c>
    </row>
    <row r="23" spans="2:42" ht="14.1" customHeight="1">
      <c r="B23" s="106" t="s">
        <v>478</v>
      </c>
      <c r="F23" s="41">
        <f t="shared" si="27"/>
        <v>172.04768759967911</v>
      </c>
      <c r="G23" s="41">
        <f t="shared" si="27"/>
        <v>230.17067821244916</v>
      </c>
      <c r="H23" s="41">
        <f t="shared" si="27"/>
        <v>100.43777768381588</v>
      </c>
      <c r="I23" s="41"/>
      <c r="J23" s="41">
        <f t="shared" si="27"/>
        <v>43.231719912978036</v>
      </c>
      <c r="K23" s="41">
        <f t="shared" si="27"/>
        <v>35.602931406881908</v>
      </c>
      <c r="L23" s="41">
        <f t="shared" si="27"/>
        <v>52.405414834201615</v>
      </c>
      <c r="M23" s="41"/>
      <c r="N23" s="41">
        <f t="shared" si="27"/>
        <v>121.50773490633088</v>
      </c>
      <c r="O23" s="9">
        <f t="shared" si="27"/>
        <v>256.0962541102071</v>
      </c>
      <c r="P23" s="9">
        <f t="shared" si="27"/>
        <v>36.505576844409461</v>
      </c>
      <c r="Q23" s="9">
        <f t="shared" si="27"/>
        <v>56.166918514615894</v>
      </c>
      <c r="R23" s="9">
        <f t="shared" si="27"/>
        <v>100.43777768381585</v>
      </c>
      <c r="S23" s="9"/>
      <c r="T23" s="9">
        <f t="shared" si="27"/>
        <v>162.15976348582299</v>
      </c>
      <c r="U23" s="9">
        <f t="shared" si="27"/>
        <v>256.0962541102071</v>
      </c>
      <c r="V23" s="9">
        <f t="shared" si="27"/>
        <v>56.166918514615894</v>
      </c>
      <c r="W23" s="9">
        <f t="shared" si="27"/>
        <v>100.43777768381588</v>
      </c>
      <c r="X23" s="9"/>
      <c r="Y23" s="9">
        <f t="shared" si="27"/>
        <v>198.86301446295576</v>
      </c>
      <c r="Z23" s="9">
        <f t="shared" si="27"/>
        <v>230.17067821244922</v>
      </c>
      <c r="AA23" s="9">
        <f t="shared" si="27"/>
        <v>100.43777768381588</v>
      </c>
      <c r="AB23" s="9"/>
      <c r="AC23" s="9">
        <f t="shared" si="27"/>
        <v>74.795145662821298</v>
      </c>
      <c r="AD23" s="9">
        <f t="shared" si="27"/>
        <v>110.07923187605262</v>
      </c>
      <c r="AE23" s="9">
        <f t="shared" si="27"/>
        <v>33.570775049236865</v>
      </c>
      <c r="AF23" s="9">
        <f t="shared" si="27"/>
        <v>35.602931406881901</v>
      </c>
      <c r="AG23" s="9">
        <f t="shared" si="27"/>
        <v>31.793128636411687</v>
      </c>
      <c r="AH23" s="9">
        <f t="shared" si="27"/>
        <v>109.02995283037269</v>
      </c>
      <c r="AJ23" s="9">
        <f t="shared" si="28"/>
        <v>71.49553979071564</v>
      </c>
      <c r="AK23" s="9">
        <f t="shared" si="29"/>
        <v>99.346506768137488</v>
      </c>
      <c r="AL23" s="9">
        <f t="shared" si="29"/>
        <v>32.131645594710911</v>
      </c>
    </row>
    <row r="24" spans="2:42" ht="14.1" customHeight="1">
      <c r="B24" s="106" t="s">
        <v>534</v>
      </c>
      <c r="F24" s="41">
        <f t="shared" si="27"/>
        <v>176.24072722489151</v>
      </c>
      <c r="G24" s="41">
        <f t="shared" si="27"/>
        <v>237.95289401502976</v>
      </c>
      <c r="H24" s="41">
        <f t="shared" si="27"/>
        <v>100.20880495171805</v>
      </c>
      <c r="I24" s="41"/>
      <c r="J24" s="41">
        <f t="shared" si="27"/>
        <v>31.52524541781942</v>
      </c>
      <c r="K24" s="41">
        <f t="shared" si="27"/>
        <v>27.342729442241591</v>
      </c>
      <c r="L24" s="41">
        <f t="shared" si="27"/>
        <v>36.554762952934503</v>
      </c>
      <c r="M24" s="41"/>
      <c r="N24" s="41">
        <f t="shared" si="27"/>
        <v>118.97509136657128</v>
      </c>
      <c r="O24" s="9">
        <f t="shared" si="27"/>
        <v>271.77922620524316</v>
      </c>
      <c r="P24" s="9">
        <f t="shared" si="27"/>
        <v>26.848687302402958</v>
      </c>
      <c r="Q24" s="9">
        <f t="shared" si="27"/>
        <v>39.399401678183551</v>
      </c>
      <c r="R24" s="9">
        <f t="shared" si="27"/>
        <v>100.20880495171805</v>
      </c>
      <c r="S24" s="9"/>
      <c r="T24" s="9">
        <f t="shared" si="27"/>
        <v>163.97961045731572</v>
      </c>
      <c r="U24" s="9">
        <f t="shared" si="27"/>
        <v>271.77922620524316</v>
      </c>
      <c r="V24" s="9">
        <f t="shared" si="27"/>
        <v>39.399401678183551</v>
      </c>
      <c r="W24" s="9">
        <f t="shared" si="27"/>
        <v>100.20880495171805</v>
      </c>
      <c r="X24" s="9"/>
      <c r="Y24" s="9">
        <f t="shared" si="27"/>
        <v>204.71193812564351</v>
      </c>
      <c r="Z24" s="9">
        <f t="shared" si="27"/>
        <v>237.95289401502981</v>
      </c>
      <c r="AA24" s="9">
        <f t="shared" si="27"/>
        <v>100.20880495171805</v>
      </c>
      <c r="AB24" s="9"/>
      <c r="AC24" s="9">
        <f t="shared" si="27"/>
        <v>67.496265385913318</v>
      </c>
      <c r="AD24" s="9">
        <f t="shared" si="27"/>
        <v>113.27636729205024</v>
      </c>
      <c r="AE24" s="9">
        <f t="shared" si="27"/>
        <v>22.948553537291755</v>
      </c>
      <c r="AF24" s="9">
        <f t="shared" si="27"/>
        <v>27.342729442241581</v>
      </c>
      <c r="AG24" s="9">
        <f t="shared" si="27"/>
        <v>19.104710023297102</v>
      </c>
      <c r="AH24" s="9">
        <f t="shared" si="27"/>
        <v>98.499281773267967</v>
      </c>
      <c r="AJ24" s="9">
        <f t="shared" si="28"/>
        <v>62.812011528282682</v>
      </c>
      <c r="AK24" s="9">
        <f t="shared" si="29"/>
        <v>97.120325407021554</v>
      </c>
      <c r="AL24" s="9">
        <f t="shared" si="29"/>
        <v>23.442972655541876</v>
      </c>
    </row>
    <row r="25" spans="2:42" ht="14.1" customHeight="1">
      <c r="B25" s="106" t="s">
        <v>535</v>
      </c>
      <c r="F25" s="41">
        <f t="shared" si="27"/>
        <v>176.44480630303585</v>
      </c>
      <c r="G25" s="41">
        <f t="shared" si="27"/>
        <v>238.5080407894547</v>
      </c>
      <c r="H25" s="41">
        <f t="shared" si="27"/>
        <v>99.980354219541482</v>
      </c>
      <c r="I25" s="41"/>
      <c r="J25" s="41">
        <f t="shared" si="27"/>
        <v>25.345282192904783</v>
      </c>
      <c r="K25" s="41">
        <f t="shared" si="27"/>
        <v>25.540064935594025</v>
      </c>
      <c r="L25" s="41">
        <f t="shared" si="27"/>
        <v>25.111053985382409</v>
      </c>
      <c r="M25" s="41"/>
      <c r="N25" s="41">
        <f t="shared" si="27"/>
        <v>116.27907241601483</v>
      </c>
      <c r="O25" s="9">
        <f t="shared" si="27"/>
        <v>278.32831757439232</v>
      </c>
      <c r="P25" s="9">
        <f t="shared" si="27"/>
        <v>22.926831905325162</v>
      </c>
      <c r="Q25" s="9">
        <f t="shared" si="27"/>
        <v>27.021253046858739</v>
      </c>
      <c r="R25" s="9">
        <f t="shared" si="27"/>
        <v>99.980354219541468</v>
      </c>
      <c r="S25" s="9"/>
      <c r="T25" s="9">
        <f t="shared" si="27"/>
        <v>162.81317119190552</v>
      </c>
      <c r="U25" s="9">
        <f t="shared" si="27"/>
        <v>278.32831757439232</v>
      </c>
      <c r="V25" s="9">
        <f t="shared" si="27"/>
        <v>27.021253046858746</v>
      </c>
      <c r="W25" s="9">
        <f t="shared" si="27"/>
        <v>99.980354219541468</v>
      </c>
      <c r="X25" s="9"/>
      <c r="Y25" s="9">
        <f t="shared" si="27"/>
        <v>205.07798400776082</v>
      </c>
      <c r="Z25" s="9">
        <f t="shared" si="27"/>
        <v>238.50804078945472</v>
      </c>
      <c r="AA25" s="9">
        <f t="shared" si="27"/>
        <v>99.980354219541468</v>
      </c>
      <c r="AB25" s="9"/>
      <c r="AC25" s="9">
        <f t="shared" si="27"/>
        <v>62.220709207271277</v>
      </c>
      <c r="AD25" s="9">
        <f t="shared" si="27"/>
        <v>113.98795957547011</v>
      </c>
      <c r="AE25" s="9">
        <f t="shared" si="27"/>
        <v>18.029569195149577</v>
      </c>
      <c r="AF25" s="9">
        <f t="shared" si="27"/>
        <v>25.540064935594021</v>
      </c>
      <c r="AG25" s="9">
        <f t="shared" si="27"/>
        <v>11.459697855617605</v>
      </c>
      <c r="AH25" s="9">
        <f t="shared" si="27"/>
        <v>88.0003026040404</v>
      </c>
      <c r="AJ25" s="9">
        <f t="shared" si="28"/>
        <v>56.168336640257266</v>
      </c>
      <c r="AK25" s="9">
        <f t="shared" si="29"/>
        <v>92.843905498967743</v>
      </c>
      <c r="AL25" s="9">
        <f t="shared" si="29"/>
        <v>20.802542515447172</v>
      </c>
    </row>
    <row r="26" spans="2:42" ht="14.1" customHeight="1">
      <c r="B26" s="106" t="s">
        <v>536</v>
      </c>
      <c r="F26" s="41">
        <f t="shared" si="27"/>
        <v>174.025890627737</v>
      </c>
      <c r="G26" s="41">
        <f t="shared" si="27"/>
        <v>234.31078682962419</v>
      </c>
      <c r="H26" s="41">
        <f t="shared" si="27"/>
        <v>99.752424297258386</v>
      </c>
      <c r="I26" s="41"/>
      <c r="J26" s="41">
        <f t="shared" si="27"/>
        <v>23.000238156217065</v>
      </c>
      <c r="K26" s="41">
        <f t="shared" si="27"/>
        <v>27.597284482852924</v>
      </c>
      <c r="L26" s="41">
        <f t="shared" si="27"/>
        <v>17.472243703940723</v>
      </c>
      <c r="M26" s="41"/>
      <c r="N26" s="41">
        <f t="shared" si="27"/>
        <v>113.48490855830573</v>
      </c>
      <c r="O26" s="9">
        <f t="shared" si="27"/>
        <v>277.83210609728297</v>
      </c>
      <c r="P26" s="9">
        <f t="shared" si="27"/>
        <v>22.994415095526783</v>
      </c>
      <c r="Q26" s="9">
        <f t="shared" si="27"/>
        <v>18.490338915844092</v>
      </c>
      <c r="R26" s="9">
        <f t="shared" si="27"/>
        <v>99.752424297258401</v>
      </c>
      <c r="S26" s="9"/>
      <c r="T26" s="9">
        <f t="shared" si="27"/>
        <v>159.50701204615117</v>
      </c>
      <c r="U26" s="9">
        <f t="shared" si="27"/>
        <v>277.83210609728297</v>
      </c>
      <c r="V26" s="9">
        <f t="shared" si="27"/>
        <v>18.490338915844092</v>
      </c>
      <c r="W26" s="9">
        <f t="shared" si="27"/>
        <v>99.752424297258401</v>
      </c>
      <c r="X26" s="9"/>
      <c r="Y26" s="9">
        <f t="shared" si="27"/>
        <v>201.83862324058956</v>
      </c>
      <c r="Z26" s="9">
        <f t="shared" si="27"/>
        <v>234.31078682962419</v>
      </c>
      <c r="AA26" s="9">
        <f t="shared" si="27"/>
        <v>99.752424297258386</v>
      </c>
      <c r="AB26" s="9"/>
      <c r="AC26" s="9">
        <f t="shared" si="27"/>
        <v>58.185259224106254</v>
      </c>
      <c r="AD26" s="9">
        <f t="shared" si="27"/>
        <v>112.52099504265283</v>
      </c>
      <c r="AE26" s="9">
        <f t="shared" si="27"/>
        <v>16.593610947096629</v>
      </c>
      <c r="AF26" s="9">
        <f t="shared" si="27"/>
        <v>27.597284482852924</v>
      </c>
      <c r="AG26" s="9">
        <f t="shared" si="27"/>
        <v>6.9680520105764474</v>
      </c>
      <c r="AH26" s="9">
        <f t="shared" si="27"/>
        <v>78.052561810649834</v>
      </c>
      <c r="AJ26" s="9">
        <f t="shared" si="28"/>
        <v>50.783983166663774</v>
      </c>
      <c r="AK26" s="9">
        <f t="shared" si="29"/>
        <v>87.066601032536752</v>
      </c>
      <c r="AL26" s="9">
        <f t="shared" si="29"/>
        <v>21.354252659596135</v>
      </c>
    </row>
    <row r="27" spans="2:42" ht="14.1" customHeight="1">
      <c r="B27" s="105" t="s">
        <v>537</v>
      </c>
      <c r="F27" s="165">
        <f t="shared" si="27"/>
        <v>170.05948495903002</v>
      </c>
      <c r="G27" s="165">
        <f t="shared" si="27"/>
        <v>227.30958342148324</v>
      </c>
      <c r="H27" s="165">
        <f t="shared" si="27"/>
        <v>99.525013997553941</v>
      </c>
      <c r="I27" s="165"/>
      <c r="J27" s="165">
        <f t="shared" si="27"/>
        <v>23.18748690084777</v>
      </c>
      <c r="K27" s="41">
        <f t="shared" si="27"/>
        <v>31.677105552942869</v>
      </c>
      <c r="L27" s="41">
        <f t="shared" si="27"/>
        <v>12.97863506944422</v>
      </c>
      <c r="M27" s="41"/>
      <c r="N27" s="165">
        <f t="shared" si="27"/>
        <v>110.97479393134779</v>
      </c>
      <c r="O27" s="10">
        <f t="shared" si="27"/>
        <v>272.47161374070367</v>
      </c>
      <c r="P27" s="9">
        <f t="shared" si="27"/>
        <v>26.120248618533527</v>
      </c>
      <c r="Q27" s="9">
        <f t="shared" si="27"/>
        <v>13.499209979570349</v>
      </c>
      <c r="R27" s="10">
        <f t="shared" si="27"/>
        <v>99.525013997553941</v>
      </c>
      <c r="S27" s="10"/>
      <c r="T27" s="10">
        <f t="shared" si="27"/>
        <v>155.03691500323609</v>
      </c>
      <c r="U27" s="10">
        <f t="shared" si="27"/>
        <v>272.47161374070362</v>
      </c>
      <c r="V27" s="10">
        <f t="shared" si="27"/>
        <v>13.499209979570349</v>
      </c>
      <c r="W27" s="10">
        <f t="shared" si="27"/>
        <v>99.525013997553941</v>
      </c>
      <c r="X27" s="10"/>
      <c r="Y27" s="10">
        <f t="shared" si="27"/>
        <v>196.47209874645898</v>
      </c>
      <c r="Z27" s="10">
        <f t="shared" si="27"/>
        <v>227.30958342148324</v>
      </c>
      <c r="AA27" s="10">
        <f t="shared" si="27"/>
        <v>99.525013997553941</v>
      </c>
      <c r="AB27" s="10"/>
      <c r="AC27" s="10">
        <f t="shared" si="27"/>
        <v>55.047575411002988</v>
      </c>
      <c r="AD27" s="10">
        <f t="shared" si="27"/>
        <v>109.73436075955185</v>
      </c>
      <c r="AE27" s="10">
        <f t="shared" si="27"/>
        <v>17.221954303377547</v>
      </c>
      <c r="AF27" s="10">
        <f t="shared" si="27"/>
        <v>31.677105552942869</v>
      </c>
      <c r="AG27" s="10">
        <f t="shared" si="27"/>
        <v>4.5771852781175468</v>
      </c>
      <c r="AH27" s="10">
        <f t="shared" si="27"/>
        <v>68.988387994264613</v>
      </c>
      <c r="AJ27" s="10">
        <f t="shared" si="28"/>
        <v>46.326074051316304</v>
      </c>
      <c r="AK27" s="10">
        <f t="shared" si="29"/>
        <v>80.664838717264757</v>
      </c>
      <c r="AL27" s="10">
        <f t="shared" si="29"/>
        <v>23.285583410440452</v>
      </c>
    </row>
    <row r="28" spans="2:42" ht="14.1" customHeight="1">
      <c r="B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</row>
    <row r="29" spans="2:42" ht="14.1" customHeight="1">
      <c r="B29" s="5"/>
      <c r="F29" s="29" t="s">
        <v>506</v>
      </c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G29" s="52" t="s">
        <v>507</v>
      </c>
    </row>
    <row r="30" spans="2:42" ht="14.1" customHeight="1">
      <c r="B30" s="5" t="s">
        <v>539</v>
      </c>
      <c r="F30" s="5" t="s">
        <v>372</v>
      </c>
      <c r="G30" s="5" t="s">
        <v>373</v>
      </c>
      <c r="H30" s="5">
        <v>2</v>
      </c>
      <c r="I30" s="5"/>
      <c r="J30" s="5">
        <v>3</v>
      </c>
      <c r="K30" s="5">
        <v>4</v>
      </c>
      <c r="L30" s="5">
        <v>5</v>
      </c>
      <c r="M30" s="5"/>
      <c r="N30" s="5">
        <v>6</v>
      </c>
      <c r="O30" s="5">
        <v>7</v>
      </c>
      <c r="P30" s="5">
        <v>8</v>
      </c>
      <c r="Q30" s="5">
        <v>9</v>
      </c>
      <c r="R30" s="5">
        <v>10</v>
      </c>
      <c r="S30" s="5"/>
      <c r="T30" s="5">
        <v>11</v>
      </c>
      <c r="U30" s="5">
        <v>12</v>
      </c>
      <c r="V30" s="5">
        <v>13</v>
      </c>
      <c r="W30" s="5">
        <v>14</v>
      </c>
      <c r="X30" s="5"/>
      <c r="Y30" s="5">
        <v>15</v>
      </c>
      <c r="Z30" s="5">
        <v>16</v>
      </c>
      <c r="AA30" s="5">
        <v>17</v>
      </c>
      <c r="AB30" s="5"/>
      <c r="AC30" s="5">
        <v>18</v>
      </c>
      <c r="AD30" s="5">
        <v>19</v>
      </c>
      <c r="AE30" s="122" t="s">
        <v>510</v>
      </c>
      <c r="AG30" s="5" t="s">
        <v>511</v>
      </c>
    </row>
    <row r="31" spans="2:42" ht="14.1" customHeight="1">
      <c r="B31" s="8">
        <v>2015</v>
      </c>
      <c r="F31" s="9">
        <f>SUM(G31:AE31)</f>
        <v>10342.3419624</v>
      </c>
      <c r="G31" s="9">
        <v>125.12</v>
      </c>
      <c r="H31" s="9">
        <v>152.846</v>
      </c>
      <c r="I31" s="9"/>
      <c r="J31" s="9">
        <v>155.81800000000001</v>
      </c>
      <c r="K31" s="9">
        <v>187.87464800000004</v>
      </c>
      <c r="L31" s="9">
        <v>275.09533120000003</v>
      </c>
      <c r="M31" s="9"/>
      <c r="N31" s="9">
        <v>441.60016720000004</v>
      </c>
      <c r="O31" s="9">
        <v>688.91927360000011</v>
      </c>
      <c r="P31" s="9">
        <v>952.68393360000005</v>
      </c>
      <c r="Q31" s="9">
        <v>1283.0745584000001</v>
      </c>
      <c r="R31" s="9">
        <v>1569.2706584000002</v>
      </c>
      <c r="S31" s="9"/>
      <c r="T31" s="9">
        <v>1543.0973488</v>
      </c>
      <c r="U31" s="9">
        <v>1229.1642455999997</v>
      </c>
      <c r="V31" s="9">
        <v>679.21071119999999</v>
      </c>
      <c r="W31" s="9">
        <v>281.75239600000003</v>
      </c>
      <c r="X31" s="9"/>
      <c r="Y31" s="9">
        <v>180.00878799999998</v>
      </c>
      <c r="Z31" s="9">
        <v>152.03903999999997</v>
      </c>
      <c r="AA31" s="9">
        <v>123.28037839999999</v>
      </c>
      <c r="AB31" s="9"/>
      <c r="AC31" s="9">
        <v>97.053370399999991</v>
      </c>
      <c r="AD31" s="9">
        <v>120.86067680000001</v>
      </c>
      <c r="AE31" s="9">
        <v>103.57243680000002</v>
      </c>
      <c r="AG31" s="9">
        <v>13380.111302381201</v>
      </c>
    </row>
    <row r="32" spans="2:42" ht="14.1" customHeight="1">
      <c r="B32" s="8">
        <v>2020</v>
      </c>
      <c r="F32" s="9">
        <f t="shared" ref="F32:F38" si="30">SUM(G32:AE32)</f>
        <v>10200.815327660026</v>
      </c>
      <c r="G32" s="9">
        <f>Y11*5</f>
        <v>195.0215093082341</v>
      </c>
      <c r="H32" s="9">
        <f>G31-H52</f>
        <v>125.12</v>
      </c>
      <c r="I32" s="9"/>
      <c r="J32" s="9">
        <f t="shared" ref="J32:J38" si="31">H31-J52</f>
        <v>152.846</v>
      </c>
      <c r="K32" s="9">
        <f t="shared" ref="K32:AD32" si="32">J31-K52</f>
        <v>155.81800000000001</v>
      </c>
      <c r="L32" s="9">
        <f t="shared" si="32"/>
        <v>187.87464800000004</v>
      </c>
      <c r="M32" s="9"/>
      <c r="N32" s="9">
        <f t="shared" ref="N32:N38" si="33">L31-N52</f>
        <v>275.09533120000003</v>
      </c>
      <c r="O32" s="9">
        <f t="shared" si="32"/>
        <v>441.60016720000004</v>
      </c>
      <c r="P32" s="9">
        <f t="shared" si="32"/>
        <v>688.91927360000011</v>
      </c>
      <c r="Q32" s="9">
        <f t="shared" si="32"/>
        <v>952.68393360000005</v>
      </c>
      <c r="R32" s="9">
        <f t="shared" si="32"/>
        <v>1238.8084861352002</v>
      </c>
      <c r="S32" s="9"/>
      <c r="T32" s="9">
        <f t="shared" ref="T32:T38" si="34">R31-T52</f>
        <v>1515.1308206852002</v>
      </c>
      <c r="U32" s="9">
        <f t="shared" si="32"/>
        <v>1472.8246955356481</v>
      </c>
      <c r="V32" s="9">
        <f t="shared" si="32"/>
        <v>1159.6181325839518</v>
      </c>
      <c r="W32" s="9">
        <f t="shared" si="32"/>
        <v>640.78096916030404</v>
      </c>
      <c r="X32" s="9"/>
      <c r="Y32" s="9">
        <f t="shared" ref="Y32:Y38" si="35">W31-Y52</f>
        <v>265.81084543432002</v>
      </c>
      <c r="Z32" s="9">
        <f t="shared" si="32"/>
        <v>169.82389077495998</v>
      </c>
      <c r="AA32" s="9">
        <f t="shared" si="32"/>
        <v>143.43667111679997</v>
      </c>
      <c r="AB32" s="9"/>
      <c r="AC32" s="9">
        <f t="shared" ref="AC32:AC38" si="36">AA31-AC52</f>
        <v>116.30517459012799</v>
      </c>
      <c r="AD32" s="9">
        <f t="shared" si="32"/>
        <v>91.562090702767989</v>
      </c>
      <c r="AE32" s="9">
        <f>AD31+AE31-AE52</f>
        <v>211.734688032512</v>
      </c>
      <c r="AG32" s="9">
        <f>AG31-AA11*5</f>
        <v>13349.608032482856</v>
      </c>
    </row>
    <row r="33" spans="1:41" ht="14.1" customHeight="1">
      <c r="B33" s="8">
        <v>2025</v>
      </c>
      <c r="F33" s="9">
        <f t="shared" si="30"/>
        <v>10009.457641405963</v>
      </c>
      <c r="G33" s="9">
        <f t="shared" ref="G33:G38" si="37">Y12*5</f>
        <v>242.54065087526436</v>
      </c>
      <c r="H33" s="9">
        <f t="shared" ref="H33:AD38" si="38">G32-H53</f>
        <v>195.0215093082341</v>
      </c>
      <c r="I33" s="9"/>
      <c r="J33" s="9">
        <f t="shared" si="31"/>
        <v>125.12</v>
      </c>
      <c r="K33" s="9">
        <f t="shared" si="38"/>
        <v>152.846</v>
      </c>
      <c r="L33" s="9">
        <f t="shared" si="38"/>
        <v>155.81800000000001</v>
      </c>
      <c r="M33" s="9"/>
      <c r="N33" s="9">
        <f t="shared" si="33"/>
        <v>187.87464800000004</v>
      </c>
      <c r="O33" s="9">
        <f t="shared" si="38"/>
        <v>275.09533120000003</v>
      </c>
      <c r="P33" s="9">
        <f t="shared" si="38"/>
        <v>441.60016720000004</v>
      </c>
      <c r="Q33" s="9">
        <f t="shared" si="38"/>
        <v>688.91927360000011</v>
      </c>
      <c r="R33" s="9">
        <f t="shared" si="38"/>
        <v>915.76743117300009</v>
      </c>
      <c r="S33" s="9"/>
      <c r="T33" s="9">
        <f t="shared" si="34"/>
        <v>1190.8046572974611</v>
      </c>
      <c r="U33" s="9">
        <f t="shared" si="38"/>
        <v>1437.6318792071522</v>
      </c>
      <c r="V33" s="9">
        <f t="shared" si="38"/>
        <v>1379.2266861343576</v>
      </c>
      <c r="W33" s="9">
        <f t="shared" si="38"/>
        <v>1085.9244002582416</v>
      </c>
      <c r="X33" s="9"/>
      <c r="Y33" s="9">
        <f t="shared" si="35"/>
        <v>600.05933857016669</v>
      </c>
      <c r="Z33" s="9">
        <f t="shared" si="38"/>
        <v>248.91856620696899</v>
      </c>
      <c r="AA33" s="9">
        <f t="shared" si="38"/>
        <v>159.03158251621127</v>
      </c>
      <c r="AB33" s="9"/>
      <c r="AC33" s="9">
        <f t="shared" si="36"/>
        <v>134.32127066732733</v>
      </c>
      <c r="AD33" s="9">
        <f t="shared" si="38"/>
        <v>108.91398074492535</v>
      </c>
      <c r="AE33" s="9">
        <f t="shared" ref="AE33:AE38" si="39">AD32+AE32-AE53</f>
        <v>284.02226844665296</v>
      </c>
      <c r="AG33" s="9">
        <f t="shared" ref="AG33:AG38" si="40">AG32-AA12*5</f>
        <v>13319.174302325509</v>
      </c>
    </row>
    <row r="34" spans="1:41" ht="14.1" customHeight="1">
      <c r="B34" s="8">
        <v>2030</v>
      </c>
      <c r="F34" s="9">
        <f t="shared" si="30"/>
        <v>9811.0712127278621</v>
      </c>
      <c r="G34" s="9">
        <f t="shared" si="37"/>
        <v>249.12675120749853</v>
      </c>
      <c r="H34" s="9">
        <f t="shared" si="38"/>
        <v>242.54065087526436</v>
      </c>
      <c r="I34" s="9"/>
      <c r="J34" s="9">
        <f t="shared" si="31"/>
        <v>195.0215093082341</v>
      </c>
      <c r="K34" s="9">
        <f t="shared" si="38"/>
        <v>125.12</v>
      </c>
      <c r="L34" s="9">
        <f t="shared" si="38"/>
        <v>152.846</v>
      </c>
      <c r="M34" s="9"/>
      <c r="N34" s="9">
        <f t="shared" si="33"/>
        <v>155.81800000000001</v>
      </c>
      <c r="O34" s="9">
        <f t="shared" si="38"/>
        <v>187.87464800000004</v>
      </c>
      <c r="P34" s="9">
        <f t="shared" si="38"/>
        <v>275.09533120000003</v>
      </c>
      <c r="Q34" s="9">
        <f t="shared" si="38"/>
        <v>441.60016720000004</v>
      </c>
      <c r="R34" s="9">
        <f t="shared" si="38"/>
        <v>663.4292604768001</v>
      </c>
      <c r="S34" s="9"/>
      <c r="T34" s="9">
        <f t="shared" si="34"/>
        <v>881.88403621959912</v>
      </c>
      <c r="U34" s="9">
        <f t="shared" si="38"/>
        <v>1132.645757835053</v>
      </c>
      <c r="V34" s="9">
        <f t="shared" si="38"/>
        <v>1350.3963767768623</v>
      </c>
      <c r="W34" s="9">
        <f t="shared" si="38"/>
        <v>1295.5352108197249</v>
      </c>
      <c r="X34" s="9"/>
      <c r="Y34" s="9">
        <f t="shared" si="35"/>
        <v>1020.0305076505715</v>
      </c>
      <c r="Z34" s="9">
        <f t="shared" si="38"/>
        <v>563.64773790572895</v>
      </c>
      <c r="AA34" s="9">
        <f t="shared" si="38"/>
        <v>233.81418760953011</v>
      </c>
      <c r="AB34" s="9"/>
      <c r="AC34" s="9">
        <f t="shared" si="36"/>
        <v>149.38154608912757</v>
      </c>
      <c r="AD34" s="9">
        <f t="shared" si="38"/>
        <v>126.1706559632339</v>
      </c>
      <c r="AE34" s="9">
        <f t="shared" si="39"/>
        <v>369.09287759063335</v>
      </c>
      <c r="AG34" s="9">
        <f t="shared" si="40"/>
        <v>13288.809953376138</v>
      </c>
    </row>
    <row r="35" spans="1:41" ht="14.1" customHeight="1">
      <c r="B35" s="8">
        <v>2035</v>
      </c>
      <c r="F35" s="9">
        <f t="shared" si="30"/>
        <v>9604.8813529451418</v>
      </c>
      <c r="G35" s="9">
        <f t="shared" si="37"/>
        <v>256.45402296831907</v>
      </c>
      <c r="H35" s="9">
        <f t="shared" si="38"/>
        <v>249.12675120749853</v>
      </c>
      <c r="I35" s="9"/>
      <c r="J35" s="9">
        <f t="shared" si="31"/>
        <v>242.54065087526436</v>
      </c>
      <c r="K35" s="9">
        <f t="shared" si="38"/>
        <v>195.0215093082341</v>
      </c>
      <c r="L35" s="9">
        <f t="shared" si="38"/>
        <v>125.12</v>
      </c>
      <c r="M35" s="9"/>
      <c r="N35" s="9">
        <f t="shared" si="33"/>
        <v>152.846</v>
      </c>
      <c r="O35" s="9">
        <f t="shared" si="38"/>
        <v>155.81800000000001</v>
      </c>
      <c r="P35" s="9">
        <f t="shared" si="38"/>
        <v>187.87464800000004</v>
      </c>
      <c r="Q35" s="9">
        <f t="shared" si="38"/>
        <v>275.09533120000003</v>
      </c>
      <c r="R35" s="9">
        <f t="shared" si="38"/>
        <v>425.26096101360002</v>
      </c>
      <c r="S35" s="9"/>
      <c r="T35" s="9">
        <f t="shared" si="34"/>
        <v>638.88237783915849</v>
      </c>
      <c r="U35" s="9">
        <f t="shared" si="38"/>
        <v>838.81281989063393</v>
      </c>
      <c r="V35" s="9">
        <f t="shared" si="38"/>
        <v>1063.916813249622</v>
      </c>
      <c r="W35" s="9">
        <f t="shared" si="38"/>
        <v>1268.4543246340422</v>
      </c>
      <c r="X35" s="9"/>
      <c r="Y35" s="9">
        <f t="shared" si="35"/>
        <v>1216.922134227184</v>
      </c>
      <c r="Z35" s="9">
        <f t="shared" si="38"/>
        <v>958.13505644633483</v>
      </c>
      <c r="AA35" s="9">
        <f t="shared" si="38"/>
        <v>529.44559316960931</v>
      </c>
      <c r="AB35" s="9"/>
      <c r="AC35" s="9">
        <f t="shared" si="36"/>
        <v>219.62634270538382</v>
      </c>
      <c r="AD35" s="9">
        <f t="shared" si="38"/>
        <v>140.31707387243929</v>
      </c>
      <c r="AE35" s="9">
        <f t="shared" si="39"/>
        <v>465.21094233781861</v>
      </c>
      <c r="AG35" s="9">
        <f t="shared" si="40"/>
        <v>13258.514827463134</v>
      </c>
    </row>
    <row r="36" spans="1:41" ht="14.1" customHeight="1">
      <c r="B36" s="8">
        <v>2040</v>
      </c>
      <c r="F36" s="9">
        <f t="shared" si="30"/>
        <v>9398.0707058092448</v>
      </c>
      <c r="G36" s="9">
        <f t="shared" si="37"/>
        <v>256.91258899001514</v>
      </c>
      <c r="H36" s="9">
        <f t="shared" si="38"/>
        <v>256.45402296831907</v>
      </c>
      <c r="I36" s="9"/>
      <c r="J36" s="9">
        <f t="shared" si="31"/>
        <v>249.12675120749853</v>
      </c>
      <c r="K36" s="9">
        <f t="shared" si="38"/>
        <v>242.54065087526436</v>
      </c>
      <c r="L36" s="9">
        <f t="shared" si="38"/>
        <v>195.0215093082341</v>
      </c>
      <c r="M36" s="9"/>
      <c r="N36" s="9">
        <f t="shared" si="33"/>
        <v>125.12</v>
      </c>
      <c r="O36" s="9">
        <f t="shared" si="38"/>
        <v>152.846</v>
      </c>
      <c r="P36" s="9">
        <f t="shared" si="38"/>
        <v>155.81800000000001</v>
      </c>
      <c r="Q36" s="9">
        <f t="shared" si="38"/>
        <v>187.87464800000004</v>
      </c>
      <c r="R36" s="9">
        <f t="shared" si="38"/>
        <v>264.91680394560001</v>
      </c>
      <c r="S36" s="9"/>
      <c r="T36" s="9">
        <f t="shared" si="34"/>
        <v>409.52630545609685</v>
      </c>
      <c r="U36" s="9">
        <f t="shared" si="38"/>
        <v>607.67936250549394</v>
      </c>
      <c r="V36" s="9">
        <f t="shared" si="38"/>
        <v>787.91365797967023</v>
      </c>
      <c r="W36" s="9">
        <f t="shared" si="38"/>
        <v>999.35834102163494</v>
      </c>
      <c r="X36" s="9"/>
      <c r="Y36" s="9">
        <f t="shared" si="35"/>
        <v>1191.4845162152485</v>
      </c>
      <c r="Z36" s="9">
        <f t="shared" si="38"/>
        <v>1143.0792991222784</v>
      </c>
      <c r="AA36" s="9">
        <f t="shared" si="38"/>
        <v>899.99542122117123</v>
      </c>
      <c r="AB36" s="9"/>
      <c r="AC36" s="9">
        <f t="shared" si="36"/>
        <v>497.31883457607739</v>
      </c>
      <c r="AD36" s="9">
        <f t="shared" si="38"/>
        <v>206.29941623002114</v>
      </c>
      <c r="AE36" s="9">
        <f t="shared" si="39"/>
        <v>568.78457618661946</v>
      </c>
      <c r="AG36" s="9">
        <f t="shared" si="40"/>
        <v>13228.288766775482</v>
      </c>
    </row>
    <row r="37" spans="1:41" ht="14.1" customHeight="1">
      <c r="B37" s="8">
        <v>2045</v>
      </c>
      <c r="F37" s="9">
        <f t="shared" si="30"/>
        <v>9195.3625124065675</v>
      </c>
      <c r="G37" s="9">
        <f t="shared" si="37"/>
        <v>252.85446171032061</v>
      </c>
      <c r="H37" s="9">
        <f t="shared" si="38"/>
        <v>256.91258899001514</v>
      </c>
      <c r="I37" s="9"/>
      <c r="J37" s="9">
        <f t="shared" si="31"/>
        <v>256.45402296831907</v>
      </c>
      <c r="K37" s="9">
        <f t="shared" si="38"/>
        <v>249.12675120749853</v>
      </c>
      <c r="L37" s="9">
        <f t="shared" si="38"/>
        <v>242.54065087526436</v>
      </c>
      <c r="M37" s="9"/>
      <c r="N37" s="9">
        <f t="shared" si="33"/>
        <v>195.0215093082341</v>
      </c>
      <c r="O37" s="9">
        <f t="shared" si="38"/>
        <v>125.12</v>
      </c>
      <c r="P37" s="9">
        <f t="shared" si="38"/>
        <v>152.846</v>
      </c>
      <c r="Q37" s="9">
        <f t="shared" si="38"/>
        <v>155.81800000000001</v>
      </c>
      <c r="R37" s="9">
        <f t="shared" si="38"/>
        <v>180.92328602400005</v>
      </c>
      <c r="S37" s="9"/>
      <c r="T37" s="9">
        <f t="shared" si="34"/>
        <v>255.11488219961279</v>
      </c>
      <c r="U37" s="9">
        <f t="shared" si="38"/>
        <v>389.52504069762108</v>
      </c>
      <c r="V37" s="9">
        <f t="shared" si="38"/>
        <v>570.80537878866062</v>
      </c>
      <c r="W37" s="9">
        <f t="shared" si="38"/>
        <v>740.10305721346379</v>
      </c>
      <c r="X37" s="9"/>
      <c r="Y37" s="9">
        <f t="shared" si="35"/>
        <v>938.71727688844214</v>
      </c>
      <c r="Z37" s="9">
        <f t="shared" si="38"/>
        <v>1119.1852357713071</v>
      </c>
      <c r="AA37" s="9">
        <f t="shared" si="38"/>
        <v>1073.7172472515385</v>
      </c>
      <c r="AB37" s="9"/>
      <c r="AC37" s="9">
        <f t="shared" si="36"/>
        <v>845.38369906147057</v>
      </c>
      <c r="AD37" s="9">
        <f t="shared" si="38"/>
        <v>467.14152769400101</v>
      </c>
      <c r="AE37" s="9">
        <f t="shared" si="39"/>
        <v>728.0518957567989</v>
      </c>
      <c r="AG37" s="9">
        <f t="shared" si="40"/>
        <v>13198.131613861935</v>
      </c>
    </row>
    <row r="38" spans="1:41" ht="14.1" customHeight="1">
      <c r="B38" s="5">
        <v>2050</v>
      </c>
      <c r="C38" s="2"/>
      <c r="D38" s="2"/>
      <c r="E38" s="2"/>
      <c r="F38" s="10">
        <f t="shared" si="30"/>
        <v>8999.543581985592</v>
      </c>
      <c r="G38" s="10">
        <f t="shared" si="37"/>
        <v>246.13151820014238</v>
      </c>
      <c r="H38" s="10">
        <f t="shared" si="38"/>
        <v>252.85446171032061</v>
      </c>
      <c r="I38" s="10"/>
      <c r="J38" s="10">
        <f t="shared" si="31"/>
        <v>256.91258899001514</v>
      </c>
      <c r="K38" s="10">
        <f t="shared" si="38"/>
        <v>256.45402296831907</v>
      </c>
      <c r="L38" s="10">
        <f t="shared" si="38"/>
        <v>249.12675120749853</v>
      </c>
      <c r="M38" s="10"/>
      <c r="N38" s="10">
        <f t="shared" si="33"/>
        <v>242.54065087526436</v>
      </c>
      <c r="O38" s="10">
        <f t="shared" si="38"/>
        <v>195.0215093082341</v>
      </c>
      <c r="P38" s="10">
        <f t="shared" si="38"/>
        <v>125.12</v>
      </c>
      <c r="Q38" s="10">
        <f t="shared" si="38"/>
        <v>152.846</v>
      </c>
      <c r="R38" s="10">
        <f t="shared" si="38"/>
        <v>150.05273400000002</v>
      </c>
      <c r="S38" s="10"/>
      <c r="T38" s="10">
        <f t="shared" si="34"/>
        <v>174.22912444111205</v>
      </c>
      <c r="U38" s="10">
        <f t="shared" si="38"/>
        <v>242.6550713529837</v>
      </c>
      <c r="V38" s="10">
        <f t="shared" si="38"/>
        <v>365.8886612280894</v>
      </c>
      <c r="W38" s="10">
        <f t="shared" si="38"/>
        <v>536.1689084037647</v>
      </c>
      <c r="X38" s="10"/>
      <c r="Y38" s="10">
        <f t="shared" si="35"/>
        <v>695.19360370175082</v>
      </c>
      <c r="Z38" s="10">
        <f t="shared" si="38"/>
        <v>881.75591252685149</v>
      </c>
      <c r="AA38" s="10">
        <f t="shared" si="38"/>
        <v>1051.2730756647043</v>
      </c>
      <c r="AB38" s="10"/>
      <c r="AC38" s="10">
        <f t="shared" si="36"/>
        <v>1008.5640846883151</v>
      </c>
      <c r="AD38" s="10">
        <f t="shared" si="38"/>
        <v>794.08581620242057</v>
      </c>
      <c r="AE38" s="10">
        <f t="shared" si="39"/>
        <v>1122.6690865158052</v>
      </c>
      <c r="AF38" s="2"/>
      <c r="AG38" s="10">
        <f t="shared" si="40"/>
        <v>13168.043211630194</v>
      </c>
      <c r="AH38" s="2"/>
    </row>
    <row r="39" spans="1:41" ht="14.1" customHeight="1"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  <c r="AG39" s="131"/>
    </row>
    <row r="40" spans="1:41" ht="14.1" customHeight="1">
      <c r="B40" s="2" t="s">
        <v>676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41" ht="14.1" customHeight="1">
      <c r="B41" s="2"/>
      <c r="C41" s="2"/>
      <c r="D41" s="2"/>
      <c r="E41" s="2"/>
      <c r="F41" s="10"/>
      <c r="G41" s="10">
        <v>2.5418159173657018</v>
      </c>
      <c r="H41" s="10">
        <v>19.218561545119258</v>
      </c>
      <c r="I41" s="10"/>
      <c r="J41" s="10">
        <v>59.444086449388855</v>
      </c>
      <c r="K41" s="10">
        <v>101.70554101675621</v>
      </c>
      <c r="L41" s="10">
        <v>142.42039829131841</v>
      </c>
      <c r="M41" s="10"/>
      <c r="N41" s="10">
        <v>184.11789616923113</v>
      </c>
      <c r="O41" s="10">
        <v>225.67870510384969</v>
      </c>
      <c r="P41" s="10">
        <v>265.8357076285314</v>
      </c>
      <c r="Q41" s="10">
        <v>300.60734949120643</v>
      </c>
      <c r="R41" s="10">
        <v>327.38597497518919</v>
      </c>
      <c r="S41" s="10"/>
      <c r="T41" s="10">
        <v>352.81287703595541</v>
      </c>
      <c r="U41" s="10">
        <v>377.04846730620136</v>
      </c>
      <c r="V41" s="10">
        <v>401.04600296498791</v>
      </c>
      <c r="W41" s="10">
        <v>427.85009027580855</v>
      </c>
      <c r="X41" s="10"/>
      <c r="Y41" s="10">
        <v>443.15125803055139</v>
      </c>
      <c r="Z41" s="10">
        <v>443.15125803055139</v>
      </c>
      <c r="AA41" s="10">
        <v>443.15125803055139</v>
      </c>
      <c r="AB41" s="10"/>
      <c r="AC41" s="10">
        <v>443.15125803055139</v>
      </c>
      <c r="AD41" s="10">
        <v>443.15125803055139</v>
      </c>
      <c r="AE41" s="10">
        <v>443.15125803055139</v>
      </c>
    </row>
    <row r="42" spans="1:41" ht="14.1" customHeight="1">
      <c r="B42" s="16"/>
      <c r="C42" s="16"/>
      <c r="D42" s="16"/>
      <c r="E42" s="16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</row>
    <row r="43" spans="1:41" ht="14.1" customHeight="1">
      <c r="B43" t="s">
        <v>540</v>
      </c>
    </row>
    <row r="44" spans="1:41" ht="14.1" customHeight="1"/>
    <row r="45" spans="1:41" ht="14.1" customHeight="1"/>
    <row r="48" spans="1:41" s="34" customFormat="1" hidden="1">
      <c r="A48" s="153" t="s">
        <v>516</v>
      </c>
      <c r="B48" s="34" t="s">
        <v>517</v>
      </c>
      <c r="AN48"/>
      <c r="AO48"/>
    </row>
    <row r="49" spans="2:41" s="34" customFormat="1" hidden="1">
      <c r="B49" s="156"/>
      <c r="C49" s="156"/>
      <c r="D49" s="156"/>
      <c r="E49" s="156"/>
      <c r="F49" s="156" t="s">
        <v>518</v>
      </c>
      <c r="G49" s="156"/>
      <c r="H49" s="156"/>
      <c r="I49" s="156"/>
      <c r="J49" s="156"/>
      <c r="K49" s="156"/>
      <c r="L49" s="156"/>
      <c r="M49" s="156"/>
      <c r="N49" s="156"/>
      <c r="O49" s="156"/>
      <c r="P49" s="156"/>
      <c r="Q49" s="156"/>
      <c r="R49" s="156"/>
      <c r="S49" s="156"/>
      <c r="T49" s="156"/>
      <c r="U49" s="156"/>
      <c r="V49" s="156"/>
      <c r="W49" s="156"/>
      <c r="X49" s="156"/>
      <c r="Y49" s="156"/>
      <c r="Z49" s="156"/>
      <c r="AA49" s="156"/>
      <c r="AB49" s="156"/>
      <c r="AC49" s="156"/>
      <c r="AD49" s="156"/>
      <c r="AE49" s="156"/>
      <c r="AN49"/>
      <c r="AO49"/>
    </row>
    <row r="50" spans="2:41" s="34" customFormat="1" ht="14.1" hidden="1" customHeight="1">
      <c r="B50" s="167" t="s">
        <v>519</v>
      </c>
      <c r="C50" s="168"/>
      <c r="D50" s="168"/>
      <c r="E50" s="156"/>
      <c r="F50" s="169" t="s">
        <v>372</v>
      </c>
      <c r="G50" s="169" t="s">
        <v>373</v>
      </c>
      <c r="H50" s="169">
        <v>2</v>
      </c>
      <c r="I50" s="169"/>
      <c r="J50" s="169">
        <v>3</v>
      </c>
      <c r="K50" s="169">
        <v>4</v>
      </c>
      <c r="L50" s="169">
        <v>5</v>
      </c>
      <c r="M50" s="169"/>
      <c r="N50" s="169">
        <v>6</v>
      </c>
      <c r="O50" s="169">
        <v>7</v>
      </c>
      <c r="P50" s="169">
        <v>8</v>
      </c>
      <c r="Q50" s="169">
        <v>9</v>
      </c>
      <c r="R50" s="169">
        <v>10</v>
      </c>
      <c r="S50" s="169"/>
      <c r="T50" s="169">
        <v>11</v>
      </c>
      <c r="U50" s="169">
        <v>12</v>
      </c>
      <c r="V50" s="169">
        <v>13</v>
      </c>
      <c r="W50" s="169">
        <v>14</v>
      </c>
      <c r="X50" s="169"/>
      <c r="Y50" s="169">
        <v>15</v>
      </c>
      <c r="Z50" s="169">
        <v>16</v>
      </c>
      <c r="AA50" s="169">
        <v>17</v>
      </c>
      <c r="AB50" s="169"/>
      <c r="AC50" s="169">
        <v>18</v>
      </c>
      <c r="AD50" s="169">
        <v>19</v>
      </c>
      <c r="AE50" s="169" t="s">
        <v>510</v>
      </c>
      <c r="AN50"/>
      <c r="AO50"/>
    </row>
    <row r="51" spans="2:41" s="34" customFormat="1" ht="14.1" hidden="1" customHeight="1">
      <c r="B51" s="170" t="s">
        <v>520</v>
      </c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N51"/>
      <c r="AO51"/>
    </row>
    <row r="52" spans="2:41" s="34" customFormat="1" ht="14.1" hidden="1" customHeight="1">
      <c r="B52" s="171" t="s">
        <v>476</v>
      </c>
      <c r="F52" s="172">
        <f>SUM(G52:AE52)</f>
        <v>336.54814404820803</v>
      </c>
      <c r="G52" s="172">
        <f t="shared" ref="G52:AD58" si="41">F31*G$83*$D11*5</f>
        <v>0</v>
      </c>
      <c r="H52" s="172">
        <f t="shared" si="41"/>
        <v>0</v>
      </c>
      <c r="I52" s="172"/>
      <c r="J52" s="172">
        <f t="shared" ref="J52:J58" si="42">H31*J$83*$D11*5</f>
        <v>0</v>
      </c>
      <c r="K52" s="172">
        <f t="shared" si="41"/>
        <v>0</v>
      </c>
      <c r="L52" s="172">
        <f t="shared" si="41"/>
        <v>0</v>
      </c>
      <c r="M52" s="172"/>
      <c r="N52" s="172">
        <f t="shared" ref="N52:N58" si="43">L31*N$83*$D11*5</f>
        <v>0</v>
      </c>
      <c r="O52" s="172">
        <f t="shared" si="41"/>
        <v>0</v>
      </c>
      <c r="P52" s="172">
        <f t="shared" si="41"/>
        <v>0</v>
      </c>
      <c r="Q52" s="172">
        <f t="shared" si="41"/>
        <v>0</v>
      </c>
      <c r="R52" s="172">
        <f t="shared" si="41"/>
        <v>44.266072264800002</v>
      </c>
      <c r="S52" s="172"/>
      <c r="T52" s="172">
        <f t="shared" ref="T52:T58" si="44">R31*T$83*$D11*5</f>
        <v>54.139837714800009</v>
      </c>
      <c r="U52" s="172">
        <f t="shared" si="41"/>
        <v>70.272653264351987</v>
      </c>
      <c r="V52" s="172">
        <f t="shared" si="41"/>
        <v>69.546113016047983</v>
      </c>
      <c r="W52" s="172">
        <f t="shared" si="41"/>
        <v>38.429742039695995</v>
      </c>
      <c r="X52" s="172"/>
      <c r="Y52" s="172">
        <f t="shared" ref="Y52:Y58" si="45">W31*Y$83*$D11*5</f>
        <v>15.94155056568</v>
      </c>
      <c r="Z52" s="172">
        <f t="shared" si="41"/>
        <v>10.18489722504</v>
      </c>
      <c r="AA52" s="172">
        <f t="shared" si="41"/>
        <v>8.6023688831999969</v>
      </c>
      <c r="AB52" s="172"/>
      <c r="AC52" s="172">
        <f t="shared" ref="AC52:AC58" si="46">AA31*AC$83*$D11*5</f>
        <v>6.9752038098720002</v>
      </c>
      <c r="AD52" s="172">
        <f t="shared" si="41"/>
        <v>5.4912796972319997</v>
      </c>
      <c r="AE52" s="172">
        <f t="shared" ref="AE52:AE58" si="47">(AD31+AE31)*AE$83*$D11*5</f>
        <v>12.698425567488002</v>
      </c>
      <c r="AN52"/>
      <c r="AO52"/>
    </row>
    <row r="53" spans="2:41" s="34" customFormat="1" ht="14.1" hidden="1" customHeight="1">
      <c r="B53" s="171" t="s">
        <v>477</v>
      </c>
      <c r="F53" s="172">
        <f t="shared" ref="F53:F58" si="48">SUM(G53:AE53)</f>
        <v>433.89833712932705</v>
      </c>
      <c r="G53" s="172">
        <f t="shared" si="41"/>
        <v>0</v>
      </c>
      <c r="H53" s="172">
        <f t="shared" si="41"/>
        <v>0</v>
      </c>
      <c r="I53" s="172"/>
      <c r="J53" s="172">
        <f t="shared" si="42"/>
        <v>0</v>
      </c>
      <c r="K53" s="172">
        <f t="shared" si="41"/>
        <v>0</v>
      </c>
      <c r="L53" s="172">
        <f t="shared" si="41"/>
        <v>0</v>
      </c>
      <c r="M53" s="172"/>
      <c r="N53" s="172">
        <f t="shared" si="43"/>
        <v>0</v>
      </c>
      <c r="O53" s="172">
        <f t="shared" si="41"/>
        <v>0</v>
      </c>
      <c r="P53" s="172">
        <f t="shared" si="41"/>
        <v>0</v>
      </c>
      <c r="Q53" s="172">
        <f t="shared" si="41"/>
        <v>0</v>
      </c>
      <c r="R53" s="172">
        <f t="shared" si="41"/>
        <v>36.916502427000005</v>
      </c>
      <c r="S53" s="172"/>
      <c r="T53" s="172">
        <f t="shared" si="44"/>
        <v>48.003828837739007</v>
      </c>
      <c r="U53" s="172">
        <f t="shared" si="41"/>
        <v>77.498941478047996</v>
      </c>
      <c r="V53" s="172">
        <f t="shared" si="41"/>
        <v>93.598009401290454</v>
      </c>
      <c r="W53" s="172">
        <f t="shared" si="41"/>
        <v>73.693732325710144</v>
      </c>
      <c r="X53" s="172"/>
      <c r="Y53" s="172">
        <f t="shared" si="45"/>
        <v>40.721630590137323</v>
      </c>
      <c r="Z53" s="172">
        <f t="shared" si="41"/>
        <v>16.89227922735104</v>
      </c>
      <c r="AA53" s="172">
        <f t="shared" si="41"/>
        <v>10.792308258748708</v>
      </c>
      <c r="AB53" s="172"/>
      <c r="AC53" s="172">
        <f t="shared" si="46"/>
        <v>9.1154004494726379</v>
      </c>
      <c r="AD53" s="172">
        <f t="shared" si="41"/>
        <v>7.3911938452026336</v>
      </c>
      <c r="AE53" s="172">
        <f t="shared" si="47"/>
        <v>19.274510288627045</v>
      </c>
      <c r="AN53"/>
      <c r="AO53"/>
    </row>
    <row r="54" spans="2:41" s="34" customFormat="1" ht="14.1" hidden="1" customHeight="1">
      <c r="B54" s="171" t="s">
        <v>478</v>
      </c>
      <c r="F54" s="172">
        <f t="shared" si="48"/>
        <v>447.51317988560066</v>
      </c>
      <c r="G54" s="172">
        <f t="shared" si="41"/>
        <v>0</v>
      </c>
      <c r="H54" s="172">
        <f t="shared" si="41"/>
        <v>0</v>
      </c>
      <c r="I54" s="172"/>
      <c r="J54" s="172">
        <f t="shared" si="42"/>
        <v>0</v>
      </c>
      <c r="K54" s="172">
        <f t="shared" si="41"/>
        <v>0</v>
      </c>
      <c r="L54" s="172">
        <f t="shared" si="41"/>
        <v>0</v>
      </c>
      <c r="M54" s="172"/>
      <c r="N54" s="172">
        <f t="shared" si="43"/>
        <v>0</v>
      </c>
      <c r="O54" s="172">
        <f t="shared" si="41"/>
        <v>0</v>
      </c>
      <c r="P54" s="172">
        <f t="shared" si="41"/>
        <v>0</v>
      </c>
      <c r="Q54" s="172">
        <f t="shared" si="41"/>
        <v>0</v>
      </c>
      <c r="R54" s="172">
        <f t="shared" si="41"/>
        <v>25.490013123200001</v>
      </c>
      <c r="S54" s="172"/>
      <c r="T54" s="172">
        <f t="shared" si="44"/>
        <v>33.883394953401009</v>
      </c>
      <c r="U54" s="172">
        <f t="shared" si="41"/>
        <v>58.158899462408002</v>
      </c>
      <c r="V54" s="172">
        <f t="shared" si="41"/>
        <v>87.235502430290012</v>
      </c>
      <c r="W54" s="172">
        <f t="shared" si="41"/>
        <v>83.691475314632825</v>
      </c>
      <c r="X54" s="172"/>
      <c r="Y54" s="172">
        <f t="shared" si="45"/>
        <v>65.893892607670097</v>
      </c>
      <c r="Z54" s="172">
        <f t="shared" si="41"/>
        <v>36.411600664437721</v>
      </c>
      <c r="AA54" s="172">
        <f t="shared" si="41"/>
        <v>15.104378597438879</v>
      </c>
      <c r="AB54" s="172"/>
      <c r="AC54" s="172">
        <f t="shared" si="46"/>
        <v>9.6500364270837</v>
      </c>
      <c r="AD54" s="172">
        <f t="shared" si="41"/>
        <v>8.1506147040934227</v>
      </c>
      <c r="AE54" s="172">
        <f t="shared" si="47"/>
        <v>23.843371600944977</v>
      </c>
      <c r="AN54"/>
      <c r="AO54"/>
    </row>
    <row r="55" spans="2:41" s="34" customFormat="1" ht="14.1" hidden="1" customHeight="1">
      <c r="B55" s="171" t="s">
        <v>534</v>
      </c>
      <c r="F55" s="172">
        <f t="shared" si="48"/>
        <v>462.64388275103823</v>
      </c>
      <c r="G55" s="172">
        <f t="shared" si="41"/>
        <v>0</v>
      </c>
      <c r="H55" s="172">
        <f t="shared" si="41"/>
        <v>0</v>
      </c>
      <c r="I55" s="172"/>
      <c r="J55" s="172">
        <f t="shared" si="42"/>
        <v>0</v>
      </c>
      <c r="K55" s="172">
        <f t="shared" si="41"/>
        <v>0</v>
      </c>
      <c r="L55" s="172">
        <f t="shared" si="41"/>
        <v>0</v>
      </c>
      <c r="M55" s="172"/>
      <c r="N55" s="172">
        <f t="shared" si="43"/>
        <v>0</v>
      </c>
      <c r="O55" s="172">
        <f t="shared" si="41"/>
        <v>0</v>
      </c>
      <c r="P55" s="172">
        <f t="shared" si="41"/>
        <v>0</v>
      </c>
      <c r="Q55" s="172">
        <f t="shared" si="41"/>
        <v>0</v>
      </c>
      <c r="R55" s="172">
        <f t="shared" si="41"/>
        <v>16.339206186399998</v>
      </c>
      <c r="S55" s="172"/>
      <c r="T55" s="172">
        <f t="shared" si="44"/>
        <v>24.546882637641602</v>
      </c>
      <c r="U55" s="172">
        <f t="shared" si="41"/>
        <v>43.071216328965221</v>
      </c>
      <c r="V55" s="172">
        <f t="shared" si="41"/>
        <v>68.728944585431023</v>
      </c>
      <c r="W55" s="172">
        <f t="shared" si="41"/>
        <v>81.942052142820003</v>
      </c>
      <c r="X55" s="172"/>
      <c r="Y55" s="172">
        <f t="shared" si="45"/>
        <v>78.613076592540907</v>
      </c>
      <c r="Z55" s="172">
        <f t="shared" si="41"/>
        <v>61.895451204236679</v>
      </c>
      <c r="AA55" s="172">
        <f t="shared" si="41"/>
        <v>34.202144736119628</v>
      </c>
      <c r="AB55" s="172"/>
      <c r="AC55" s="172">
        <f t="shared" si="46"/>
        <v>14.187844904146287</v>
      </c>
      <c r="AD55" s="172">
        <f t="shared" si="41"/>
        <v>9.0644722166882623</v>
      </c>
      <c r="AE55" s="172">
        <f t="shared" si="47"/>
        <v>30.052591216048661</v>
      </c>
      <c r="AN55"/>
      <c r="AO55"/>
    </row>
    <row r="56" spans="2:41" s="34" customFormat="1" ht="14.1" hidden="1" customHeight="1">
      <c r="B56" s="171" t="s">
        <v>535</v>
      </c>
      <c r="F56" s="172">
        <f t="shared" si="48"/>
        <v>463.72323612591435</v>
      </c>
      <c r="G56" s="172">
        <f t="shared" si="41"/>
        <v>0</v>
      </c>
      <c r="H56" s="172">
        <f t="shared" si="41"/>
        <v>0</v>
      </c>
      <c r="I56" s="172"/>
      <c r="J56" s="172">
        <f t="shared" si="42"/>
        <v>0</v>
      </c>
      <c r="K56" s="172">
        <f t="shared" si="41"/>
        <v>0</v>
      </c>
      <c r="L56" s="172">
        <f t="shared" si="41"/>
        <v>0</v>
      </c>
      <c r="M56" s="172"/>
      <c r="N56" s="172">
        <f t="shared" si="43"/>
        <v>0</v>
      </c>
      <c r="O56" s="172">
        <f t="shared" si="41"/>
        <v>0</v>
      </c>
      <c r="P56" s="172">
        <f t="shared" si="41"/>
        <v>0</v>
      </c>
      <c r="Q56" s="172">
        <f t="shared" si="41"/>
        <v>0</v>
      </c>
      <c r="R56" s="172">
        <f t="shared" si="41"/>
        <v>10.178527254400002</v>
      </c>
      <c r="S56" s="172"/>
      <c r="T56" s="172">
        <f t="shared" si="44"/>
        <v>15.734655557503201</v>
      </c>
      <c r="U56" s="172">
        <f t="shared" si="41"/>
        <v>31.203015333664506</v>
      </c>
      <c r="V56" s="172">
        <f t="shared" si="41"/>
        <v>50.89916191096367</v>
      </c>
      <c r="W56" s="172">
        <f t="shared" si="41"/>
        <v>64.558472227987068</v>
      </c>
      <c r="X56" s="172"/>
      <c r="Y56" s="172">
        <f t="shared" si="45"/>
        <v>76.969808418793676</v>
      </c>
      <c r="Z56" s="172">
        <f t="shared" si="41"/>
        <v>73.842835104905532</v>
      </c>
      <c r="AA56" s="172">
        <f t="shared" si="41"/>
        <v>58.139635225163602</v>
      </c>
      <c r="AB56" s="172"/>
      <c r="AC56" s="172">
        <f t="shared" si="46"/>
        <v>32.126758593531896</v>
      </c>
      <c r="AD56" s="172">
        <f t="shared" si="41"/>
        <v>13.32692647536269</v>
      </c>
      <c r="AE56" s="172">
        <f t="shared" si="47"/>
        <v>36.743440023638449</v>
      </c>
      <c r="AN56"/>
      <c r="AO56"/>
    </row>
    <row r="57" spans="2:41" s="34" customFormat="1" ht="14.1" hidden="1" customHeight="1">
      <c r="B57" s="171" t="s">
        <v>536</v>
      </c>
      <c r="F57" s="172">
        <f t="shared" si="48"/>
        <v>455.56265511299546</v>
      </c>
      <c r="G57" s="172">
        <f t="shared" si="41"/>
        <v>0</v>
      </c>
      <c r="H57" s="172">
        <f t="shared" si="41"/>
        <v>0</v>
      </c>
      <c r="I57" s="172"/>
      <c r="J57" s="172">
        <f t="shared" si="42"/>
        <v>0</v>
      </c>
      <c r="K57" s="172">
        <f t="shared" si="41"/>
        <v>0</v>
      </c>
      <c r="L57" s="172">
        <f t="shared" si="41"/>
        <v>0</v>
      </c>
      <c r="M57" s="172"/>
      <c r="N57" s="172">
        <f t="shared" si="43"/>
        <v>0</v>
      </c>
      <c r="O57" s="172">
        <f t="shared" si="41"/>
        <v>0</v>
      </c>
      <c r="P57" s="172">
        <f t="shared" si="41"/>
        <v>0</v>
      </c>
      <c r="Q57" s="172">
        <f t="shared" si="41"/>
        <v>0</v>
      </c>
      <c r="R57" s="172">
        <f t="shared" si="41"/>
        <v>6.9513619760000012</v>
      </c>
      <c r="S57" s="172"/>
      <c r="T57" s="172">
        <f t="shared" si="44"/>
        <v>9.801921745987201</v>
      </c>
      <c r="U57" s="172">
        <f t="shared" si="41"/>
        <v>20.001264758475767</v>
      </c>
      <c r="V57" s="172">
        <f t="shared" si="41"/>
        <v>36.873983716833379</v>
      </c>
      <c r="W57" s="172">
        <f t="shared" si="41"/>
        <v>47.810600766206399</v>
      </c>
      <c r="X57" s="172"/>
      <c r="Y57" s="172">
        <f t="shared" si="45"/>
        <v>60.641064133192806</v>
      </c>
      <c r="Z57" s="172">
        <f t="shared" si="41"/>
        <v>72.299280443941285</v>
      </c>
      <c r="AA57" s="172">
        <f t="shared" si="41"/>
        <v>69.362051870739862</v>
      </c>
      <c r="AB57" s="172"/>
      <c r="AC57" s="172">
        <f t="shared" si="46"/>
        <v>54.611722159700669</v>
      </c>
      <c r="AD57" s="172">
        <f t="shared" si="41"/>
        <v>30.17730688207638</v>
      </c>
      <c r="AE57" s="172">
        <f t="shared" si="47"/>
        <v>47.032096659841756</v>
      </c>
      <c r="AN57"/>
      <c r="AO57"/>
    </row>
    <row r="58" spans="2:41" s="34" customFormat="1" ht="14.1" hidden="1" customHeight="1">
      <c r="B58" s="169" t="s">
        <v>537</v>
      </c>
      <c r="C58" s="156"/>
      <c r="D58" s="156"/>
      <c r="E58" s="156"/>
      <c r="F58" s="188">
        <f t="shared" si="48"/>
        <v>441.95044862111922</v>
      </c>
      <c r="G58" s="188">
        <f t="shared" si="41"/>
        <v>0</v>
      </c>
      <c r="H58" s="188">
        <f t="shared" si="41"/>
        <v>0</v>
      </c>
      <c r="I58" s="188"/>
      <c r="J58" s="188">
        <f t="shared" si="42"/>
        <v>0</v>
      </c>
      <c r="K58" s="188">
        <f t="shared" si="41"/>
        <v>0</v>
      </c>
      <c r="L58" s="188">
        <f t="shared" si="41"/>
        <v>0</v>
      </c>
      <c r="M58" s="188"/>
      <c r="N58" s="188">
        <f t="shared" si="43"/>
        <v>0</v>
      </c>
      <c r="O58" s="188">
        <f t="shared" si="41"/>
        <v>0</v>
      </c>
      <c r="P58" s="188">
        <f t="shared" si="41"/>
        <v>0</v>
      </c>
      <c r="Q58" s="188">
        <f t="shared" si="41"/>
        <v>0</v>
      </c>
      <c r="R58" s="188">
        <f t="shared" si="41"/>
        <v>5.7652660000000004</v>
      </c>
      <c r="S58" s="188"/>
      <c r="T58" s="188">
        <f t="shared" si="44"/>
        <v>6.6941615828880021</v>
      </c>
      <c r="U58" s="188">
        <f t="shared" si="41"/>
        <v>12.459810846629086</v>
      </c>
      <c r="V58" s="188">
        <f t="shared" si="41"/>
        <v>23.636379469531651</v>
      </c>
      <c r="W58" s="188">
        <f t="shared" si="41"/>
        <v>34.636470384895929</v>
      </c>
      <c r="X58" s="188"/>
      <c r="Y58" s="188">
        <f t="shared" si="45"/>
        <v>44.909453511712982</v>
      </c>
      <c r="Z58" s="188">
        <f t="shared" si="41"/>
        <v>56.961364361590668</v>
      </c>
      <c r="AA58" s="188">
        <f t="shared" si="41"/>
        <v>67.912160106602911</v>
      </c>
      <c r="AB58" s="188"/>
      <c r="AC58" s="188">
        <f t="shared" si="46"/>
        <v>65.153162563223376</v>
      </c>
      <c r="AD58" s="188">
        <f t="shared" si="41"/>
        <v>51.297882859050041</v>
      </c>
      <c r="AE58" s="188">
        <f t="shared" si="47"/>
        <v>72.524336934994537</v>
      </c>
      <c r="AN58"/>
      <c r="AO58"/>
    </row>
    <row r="59" spans="2:41" s="34" customFormat="1" hidden="1">
      <c r="AN59"/>
      <c r="AO59"/>
    </row>
    <row r="60" spans="2:41" s="34" customFormat="1" hidden="1">
      <c r="B60" s="156"/>
      <c r="C60" s="156"/>
      <c r="D60" s="156"/>
      <c r="E60" s="156"/>
      <c r="F60" s="156" t="s">
        <v>521</v>
      </c>
      <c r="G60" s="156"/>
      <c r="H60" s="156"/>
      <c r="I60" s="156"/>
      <c r="J60" s="156"/>
      <c r="K60" s="156"/>
      <c r="L60" s="156"/>
      <c r="M60" s="156"/>
      <c r="N60" s="156"/>
      <c r="O60" s="156"/>
      <c r="P60" s="156"/>
      <c r="Q60" s="156"/>
      <c r="R60" s="156"/>
      <c r="S60" s="156"/>
      <c r="T60" s="156"/>
      <c r="U60" s="156"/>
      <c r="V60" s="156"/>
      <c r="W60" s="156"/>
      <c r="X60" s="156"/>
      <c r="Y60" s="156"/>
      <c r="Z60" s="156"/>
      <c r="AA60" s="156"/>
      <c r="AB60" s="156"/>
      <c r="AC60" s="156"/>
      <c r="AD60" s="156"/>
      <c r="AE60" s="156"/>
      <c r="AN60"/>
      <c r="AO60"/>
    </row>
    <row r="61" spans="2:41" s="34" customFormat="1" hidden="1">
      <c r="B61" s="170" t="s">
        <v>520</v>
      </c>
      <c r="AN61"/>
      <c r="AO61"/>
    </row>
    <row r="62" spans="2:41" s="34" customFormat="1" hidden="1">
      <c r="B62" s="171" t="s">
        <v>476</v>
      </c>
      <c r="F62" s="172">
        <f t="shared" ref="F62:F68" si="49">SUM(G62:AE62)</f>
        <v>974.44702363920032</v>
      </c>
      <c r="G62" s="172">
        <f>F31*G$84*5</f>
        <v>0</v>
      </c>
      <c r="H62" s="172">
        <f>G31*H$84*5</f>
        <v>0</v>
      </c>
      <c r="I62" s="172"/>
      <c r="J62" s="172">
        <f t="shared" ref="J62:J68" si="50">H31*J$84*5</f>
        <v>0</v>
      </c>
      <c r="K62" s="172">
        <f>J31*K$84*5</f>
        <v>0</v>
      </c>
      <c r="L62" s="172">
        <f>K31*L$84*5</f>
        <v>102.76743245600002</v>
      </c>
      <c r="M62" s="172"/>
      <c r="N62" s="172">
        <f t="shared" ref="N62:N68" si="51">L31*N$84*5</f>
        <v>150.47714616640005</v>
      </c>
      <c r="O62" s="172">
        <f>N31*O$84*5</f>
        <v>241.55529145840006</v>
      </c>
      <c r="P62" s="172">
        <f>O31*P$84*5</f>
        <v>112.98276087040003</v>
      </c>
      <c r="Q62" s="172">
        <f>P31*Q$84*5</f>
        <v>156.24016511040003</v>
      </c>
      <c r="R62" s="172">
        <f>Q31*R$84*5</f>
        <v>210.42422757760005</v>
      </c>
      <c r="S62" s="172"/>
      <c r="T62" s="172">
        <f t="shared" ref="T62:T68" si="52">R31*T$84*5</f>
        <v>0</v>
      </c>
      <c r="U62" s="172">
        <f>T31*U$84*5</f>
        <v>0</v>
      </c>
      <c r="V62" s="172">
        <f>U31*V$84*5</f>
        <v>0</v>
      </c>
      <c r="W62" s="172">
        <f>V31*W$84*5</f>
        <v>0</v>
      </c>
      <c r="X62" s="172"/>
      <c r="Y62" s="172">
        <f t="shared" ref="Y62:Y68" si="53">W31*Y$84*5</f>
        <v>0</v>
      </c>
      <c r="Z62" s="172">
        <f t="shared" ref="Z62:AA68" si="54">Y31*Z$84*5</f>
        <v>0</v>
      </c>
      <c r="AA62" s="172">
        <f t="shared" si="54"/>
        <v>0</v>
      </c>
      <c r="AB62" s="172"/>
      <c r="AC62" s="172">
        <f t="shared" ref="AC62:AC68" si="55">AA31*AC$84*5</f>
        <v>0</v>
      </c>
      <c r="AD62" s="172">
        <f t="shared" ref="AD62:AE68" si="56">AC31*AD$84*5</f>
        <v>0</v>
      </c>
      <c r="AE62" s="172">
        <f t="shared" si="56"/>
        <v>0</v>
      </c>
      <c r="AN62"/>
      <c r="AO62"/>
    </row>
    <row r="63" spans="2:41" s="34" customFormat="1" hidden="1">
      <c r="B63" s="171" t="s">
        <v>477</v>
      </c>
      <c r="F63" s="172">
        <f t="shared" si="49"/>
        <v>680.12237802400023</v>
      </c>
      <c r="G63" s="172">
        <f t="shared" ref="G63:V68" si="57">F32*G$84*5</f>
        <v>0</v>
      </c>
      <c r="H63" s="172">
        <f t="shared" si="57"/>
        <v>0</v>
      </c>
      <c r="I63" s="172"/>
      <c r="J63" s="172">
        <f t="shared" si="50"/>
        <v>0</v>
      </c>
      <c r="K63" s="172">
        <f t="shared" si="57"/>
        <v>0</v>
      </c>
      <c r="L63" s="172">
        <f t="shared" si="57"/>
        <v>85.23244600000001</v>
      </c>
      <c r="M63" s="172"/>
      <c r="N63" s="172">
        <f t="shared" si="51"/>
        <v>102.76743245600002</v>
      </c>
      <c r="O63" s="172">
        <f t="shared" si="57"/>
        <v>150.47714616640005</v>
      </c>
      <c r="P63" s="172">
        <f t="shared" si="57"/>
        <v>72.422427420800005</v>
      </c>
      <c r="Q63" s="172">
        <f t="shared" si="57"/>
        <v>112.98276087040003</v>
      </c>
      <c r="R63" s="172">
        <f t="shared" si="57"/>
        <v>156.24016511040003</v>
      </c>
      <c r="S63" s="172"/>
      <c r="T63" s="172">
        <f t="shared" si="52"/>
        <v>0</v>
      </c>
      <c r="U63" s="172">
        <f t="shared" si="57"/>
        <v>0</v>
      </c>
      <c r="V63" s="172">
        <f t="shared" si="57"/>
        <v>0</v>
      </c>
      <c r="W63" s="172">
        <f t="shared" ref="W63:W68" si="58">V32*W$84*5</f>
        <v>0</v>
      </c>
      <c r="X63" s="172"/>
      <c r="Y63" s="172">
        <f t="shared" si="53"/>
        <v>0</v>
      </c>
      <c r="Z63" s="172">
        <f t="shared" si="54"/>
        <v>0</v>
      </c>
      <c r="AA63" s="172">
        <f t="shared" si="54"/>
        <v>0</v>
      </c>
      <c r="AB63" s="172"/>
      <c r="AC63" s="172">
        <f t="shared" si="55"/>
        <v>0</v>
      </c>
      <c r="AD63" s="172">
        <f t="shared" si="56"/>
        <v>0</v>
      </c>
      <c r="AE63" s="172">
        <f t="shared" si="56"/>
        <v>0</v>
      </c>
      <c r="AN63"/>
      <c r="AO63"/>
    </row>
    <row r="64" spans="2:41" s="34" customFormat="1" hidden="1">
      <c r="B64" s="171" t="s">
        <v>478</v>
      </c>
      <c r="F64" s="172">
        <f t="shared" si="49"/>
        <v>502.12746306400015</v>
      </c>
      <c r="G64" s="172">
        <f t="shared" si="57"/>
        <v>0</v>
      </c>
      <c r="H64" s="172">
        <f t="shared" si="57"/>
        <v>0</v>
      </c>
      <c r="I64" s="172"/>
      <c r="J64" s="172">
        <f t="shared" si="50"/>
        <v>0</v>
      </c>
      <c r="K64" s="172">
        <f t="shared" si="57"/>
        <v>0</v>
      </c>
      <c r="L64" s="172">
        <f t="shared" si="57"/>
        <v>83.606762000000003</v>
      </c>
      <c r="M64" s="172"/>
      <c r="N64" s="172">
        <f t="shared" si="51"/>
        <v>85.23244600000001</v>
      </c>
      <c r="O64" s="172">
        <f t="shared" si="57"/>
        <v>102.76743245600002</v>
      </c>
      <c r="P64" s="172">
        <f t="shared" si="57"/>
        <v>45.115634316800012</v>
      </c>
      <c r="Q64" s="172">
        <f t="shared" si="57"/>
        <v>72.422427420800005</v>
      </c>
      <c r="R64" s="172">
        <f t="shared" si="57"/>
        <v>112.98276087040003</v>
      </c>
      <c r="S64" s="172"/>
      <c r="T64" s="172">
        <f t="shared" si="52"/>
        <v>0</v>
      </c>
      <c r="U64" s="172">
        <f t="shared" si="57"/>
        <v>0</v>
      </c>
      <c r="V64" s="172">
        <f t="shared" si="57"/>
        <v>0</v>
      </c>
      <c r="W64" s="172">
        <f t="shared" si="58"/>
        <v>0</v>
      </c>
      <c r="X64" s="172"/>
      <c r="Y64" s="172">
        <f t="shared" si="53"/>
        <v>0</v>
      </c>
      <c r="Z64" s="172">
        <f t="shared" si="54"/>
        <v>0</v>
      </c>
      <c r="AA64" s="172">
        <f t="shared" si="54"/>
        <v>0</v>
      </c>
      <c r="AB64" s="172"/>
      <c r="AC64" s="172">
        <f t="shared" si="55"/>
        <v>0</v>
      </c>
      <c r="AD64" s="172">
        <f t="shared" si="56"/>
        <v>0</v>
      </c>
      <c r="AE64" s="172">
        <f t="shared" si="56"/>
        <v>0</v>
      </c>
      <c r="AN64"/>
      <c r="AO64"/>
    </row>
    <row r="65" spans="2:41" s="34" customFormat="1" hidden="1">
      <c r="B65" s="171" t="s">
        <v>534</v>
      </c>
      <c r="F65" s="172">
        <f t="shared" si="49"/>
        <v>385.6293520096001</v>
      </c>
      <c r="G65" s="172">
        <f t="shared" si="57"/>
        <v>0</v>
      </c>
      <c r="H65" s="172">
        <f t="shared" si="57"/>
        <v>0</v>
      </c>
      <c r="I65" s="172"/>
      <c r="J65" s="172">
        <f t="shared" si="50"/>
        <v>0</v>
      </c>
      <c r="K65" s="172">
        <f t="shared" si="57"/>
        <v>0</v>
      </c>
      <c r="L65" s="172">
        <f t="shared" si="57"/>
        <v>68.440640000000016</v>
      </c>
      <c r="M65" s="172"/>
      <c r="N65" s="172">
        <f t="shared" si="51"/>
        <v>83.606762000000003</v>
      </c>
      <c r="O65" s="172">
        <f t="shared" si="57"/>
        <v>85.23244600000001</v>
      </c>
      <c r="P65" s="172">
        <f t="shared" si="57"/>
        <v>30.811442272000008</v>
      </c>
      <c r="Q65" s="172">
        <f t="shared" si="57"/>
        <v>45.115634316800012</v>
      </c>
      <c r="R65" s="172">
        <f t="shared" si="57"/>
        <v>72.422427420800005</v>
      </c>
      <c r="S65" s="172"/>
      <c r="T65" s="172">
        <f t="shared" si="52"/>
        <v>0</v>
      </c>
      <c r="U65" s="172">
        <f t="shared" si="57"/>
        <v>0</v>
      </c>
      <c r="V65" s="172">
        <f t="shared" si="57"/>
        <v>0</v>
      </c>
      <c r="W65" s="172">
        <f t="shared" si="58"/>
        <v>0</v>
      </c>
      <c r="X65" s="172"/>
      <c r="Y65" s="172">
        <f t="shared" si="53"/>
        <v>0</v>
      </c>
      <c r="Z65" s="172">
        <f t="shared" si="54"/>
        <v>0</v>
      </c>
      <c r="AA65" s="172">
        <f t="shared" si="54"/>
        <v>0</v>
      </c>
      <c r="AB65" s="172"/>
      <c r="AC65" s="172">
        <f t="shared" si="55"/>
        <v>0</v>
      </c>
      <c r="AD65" s="172">
        <f t="shared" si="56"/>
        <v>0</v>
      </c>
      <c r="AE65" s="172">
        <f t="shared" si="56"/>
        <v>0</v>
      </c>
      <c r="AN65"/>
      <c r="AO65"/>
    </row>
    <row r="66" spans="2:41" s="34" customFormat="1" hidden="1">
      <c r="B66" s="171" t="s">
        <v>535</v>
      </c>
      <c r="F66" s="172">
        <f t="shared" si="49"/>
        <v>360.20539618040414</v>
      </c>
      <c r="G66" s="172">
        <f t="shared" si="57"/>
        <v>0</v>
      </c>
      <c r="H66" s="172">
        <f t="shared" si="57"/>
        <v>0</v>
      </c>
      <c r="I66" s="172"/>
      <c r="J66" s="172">
        <f t="shared" si="50"/>
        <v>0</v>
      </c>
      <c r="K66" s="172">
        <f t="shared" si="57"/>
        <v>0</v>
      </c>
      <c r="L66" s="172">
        <f t="shared" si="57"/>
        <v>106.67676559160407</v>
      </c>
      <c r="M66" s="172"/>
      <c r="N66" s="172">
        <f t="shared" si="51"/>
        <v>68.440640000000016</v>
      </c>
      <c r="O66" s="172">
        <f t="shared" si="57"/>
        <v>83.606762000000003</v>
      </c>
      <c r="P66" s="172">
        <f t="shared" si="57"/>
        <v>25.554152000000006</v>
      </c>
      <c r="Q66" s="172">
        <f t="shared" si="57"/>
        <v>30.811442272000008</v>
      </c>
      <c r="R66" s="172">
        <f t="shared" si="57"/>
        <v>45.115634316800012</v>
      </c>
      <c r="S66" s="172"/>
      <c r="T66" s="172">
        <f t="shared" si="52"/>
        <v>0</v>
      </c>
      <c r="U66" s="172">
        <f t="shared" si="57"/>
        <v>0</v>
      </c>
      <c r="V66" s="172">
        <f t="shared" si="57"/>
        <v>0</v>
      </c>
      <c r="W66" s="172">
        <f t="shared" si="58"/>
        <v>0</v>
      </c>
      <c r="X66" s="172"/>
      <c r="Y66" s="172">
        <f t="shared" si="53"/>
        <v>0</v>
      </c>
      <c r="Z66" s="172">
        <f t="shared" si="54"/>
        <v>0</v>
      </c>
      <c r="AA66" s="172">
        <f t="shared" si="54"/>
        <v>0</v>
      </c>
      <c r="AB66" s="172"/>
      <c r="AC66" s="172">
        <f t="shared" si="55"/>
        <v>0</v>
      </c>
      <c r="AD66" s="172">
        <f t="shared" si="56"/>
        <v>0</v>
      </c>
      <c r="AE66" s="172">
        <f t="shared" si="56"/>
        <v>0</v>
      </c>
      <c r="AN66"/>
      <c r="AO66"/>
    </row>
    <row r="67" spans="2:41" s="34" customFormat="1" hidden="1">
      <c r="B67" s="171" t="s">
        <v>536</v>
      </c>
      <c r="F67" s="172">
        <f t="shared" si="49"/>
        <v>389.21947989237373</v>
      </c>
      <c r="G67" s="172">
        <f t="shared" si="57"/>
        <v>0</v>
      </c>
      <c r="H67" s="172">
        <f t="shared" si="57"/>
        <v>0</v>
      </c>
      <c r="I67" s="172"/>
      <c r="J67" s="172">
        <f t="shared" si="50"/>
        <v>0</v>
      </c>
      <c r="K67" s="172">
        <f t="shared" si="57"/>
        <v>0</v>
      </c>
      <c r="L67" s="172">
        <f t="shared" si="57"/>
        <v>132.66973602876962</v>
      </c>
      <c r="M67" s="172"/>
      <c r="N67" s="172">
        <f t="shared" si="51"/>
        <v>106.67676559160407</v>
      </c>
      <c r="O67" s="172">
        <f t="shared" si="57"/>
        <v>68.440640000000016</v>
      </c>
      <c r="P67" s="172">
        <f t="shared" si="57"/>
        <v>25.066744</v>
      </c>
      <c r="Q67" s="172">
        <f t="shared" si="57"/>
        <v>25.554152000000006</v>
      </c>
      <c r="R67" s="172">
        <f t="shared" si="57"/>
        <v>30.811442272000008</v>
      </c>
      <c r="S67" s="172"/>
      <c r="T67" s="172">
        <f t="shared" si="52"/>
        <v>0</v>
      </c>
      <c r="U67" s="172">
        <f t="shared" si="57"/>
        <v>0</v>
      </c>
      <c r="V67" s="172">
        <f t="shared" si="57"/>
        <v>0</v>
      </c>
      <c r="W67" s="172">
        <f t="shared" si="58"/>
        <v>0</v>
      </c>
      <c r="X67" s="172"/>
      <c r="Y67" s="172">
        <f t="shared" si="53"/>
        <v>0</v>
      </c>
      <c r="Z67" s="172">
        <f t="shared" si="54"/>
        <v>0</v>
      </c>
      <c r="AA67" s="172">
        <f t="shared" si="54"/>
        <v>0</v>
      </c>
      <c r="AB67" s="172"/>
      <c r="AC67" s="172">
        <f t="shared" si="55"/>
        <v>0</v>
      </c>
      <c r="AD67" s="172">
        <f t="shared" si="56"/>
        <v>0</v>
      </c>
      <c r="AE67" s="172">
        <f t="shared" si="56"/>
        <v>0</v>
      </c>
      <c r="AN67"/>
      <c r="AO67"/>
    </row>
    <row r="68" spans="2:41" s="34" customFormat="1" hidden="1">
      <c r="B68" s="169" t="s">
        <v>537</v>
      </c>
      <c r="C68" s="156"/>
      <c r="D68" s="156"/>
      <c r="E68" s="156"/>
      <c r="F68" s="188">
        <f t="shared" si="49"/>
        <v>446.75941053087541</v>
      </c>
      <c r="G68" s="188">
        <f t="shared" si="57"/>
        <v>0</v>
      </c>
      <c r="H68" s="188">
        <f t="shared" si="57"/>
        <v>0</v>
      </c>
      <c r="I68" s="188"/>
      <c r="J68" s="188">
        <f t="shared" si="50"/>
        <v>0</v>
      </c>
      <c r="K68" s="188">
        <f t="shared" si="57"/>
        <v>0</v>
      </c>
      <c r="L68" s="188">
        <f t="shared" si="57"/>
        <v>136.27233291050172</v>
      </c>
      <c r="M68" s="188"/>
      <c r="N68" s="188">
        <f t="shared" si="51"/>
        <v>132.66973602876962</v>
      </c>
      <c r="O68" s="188">
        <f t="shared" si="57"/>
        <v>106.67676559160407</v>
      </c>
      <c r="P68" s="188">
        <f t="shared" si="57"/>
        <v>20.519680000000005</v>
      </c>
      <c r="Q68" s="188">
        <f t="shared" si="57"/>
        <v>25.066744</v>
      </c>
      <c r="R68" s="188">
        <f t="shared" si="57"/>
        <v>25.554152000000006</v>
      </c>
      <c r="S68" s="188"/>
      <c r="T68" s="188">
        <f t="shared" si="52"/>
        <v>0</v>
      </c>
      <c r="U68" s="188">
        <f t="shared" si="57"/>
        <v>0</v>
      </c>
      <c r="V68" s="188">
        <f t="shared" si="57"/>
        <v>0</v>
      </c>
      <c r="W68" s="188">
        <f t="shared" si="58"/>
        <v>0</v>
      </c>
      <c r="X68" s="188"/>
      <c r="Y68" s="188">
        <f t="shared" si="53"/>
        <v>0</v>
      </c>
      <c r="Z68" s="188">
        <f t="shared" si="54"/>
        <v>0</v>
      </c>
      <c r="AA68" s="188">
        <f t="shared" si="54"/>
        <v>0</v>
      </c>
      <c r="AB68" s="188"/>
      <c r="AC68" s="188">
        <f t="shared" si="55"/>
        <v>0</v>
      </c>
      <c r="AD68" s="188">
        <f t="shared" si="56"/>
        <v>0</v>
      </c>
      <c r="AE68" s="188">
        <f t="shared" si="56"/>
        <v>0</v>
      </c>
      <c r="AN68"/>
      <c r="AO68"/>
    </row>
    <row r="69" spans="2:41" s="34" customFormat="1" hidden="1">
      <c r="AN69"/>
      <c r="AO69"/>
    </row>
    <row r="70" spans="2:41" s="34" customFormat="1" hidden="1">
      <c r="B70" s="156"/>
      <c r="C70" s="156"/>
      <c r="D70" s="156"/>
      <c r="E70" s="156"/>
      <c r="F70" s="156" t="s">
        <v>522</v>
      </c>
      <c r="G70" s="156"/>
      <c r="H70" s="156"/>
      <c r="I70" s="156"/>
      <c r="J70" s="156"/>
      <c r="K70" s="156"/>
      <c r="L70" s="156"/>
      <c r="M70" s="156"/>
      <c r="N70" s="156"/>
      <c r="O70" s="156"/>
      <c r="P70" s="156"/>
      <c r="Q70" s="156"/>
      <c r="R70" s="156"/>
      <c r="S70" s="156"/>
      <c r="T70" s="156"/>
      <c r="U70" s="156"/>
      <c r="V70" s="156"/>
      <c r="W70" s="156"/>
      <c r="X70" s="156"/>
      <c r="Y70" s="156"/>
      <c r="Z70" s="156"/>
      <c r="AA70" s="156"/>
      <c r="AB70" s="156"/>
      <c r="AC70" s="156"/>
      <c r="AD70" s="156"/>
      <c r="AE70" s="156"/>
      <c r="AN70"/>
      <c r="AO70"/>
    </row>
    <row r="71" spans="2:41" s="34" customFormat="1" hidden="1">
      <c r="B71" s="170" t="s">
        <v>520</v>
      </c>
      <c r="AN71"/>
      <c r="AO71"/>
    </row>
    <row r="72" spans="2:41" s="34" customFormat="1" hidden="1">
      <c r="B72" s="171" t="s">
        <v>476</v>
      </c>
      <c r="F72" s="172">
        <f t="shared" ref="F72:F78" si="59">SUM(G72:AE72)</f>
        <v>1056.4830102400001</v>
      </c>
      <c r="G72" s="172">
        <f>F31*G$85*5</f>
        <v>0</v>
      </c>
      <c r="H72" s="172">
        <f>G31*H$85*5</f>
        <v>0</v>
      </c>
      <c r="I72" s="172"/>
      <c r="J72" s="172">
        <f t="shared" ref="J72:J78" si="60">H31*J$85*5</f>
        <v>0</v>
      </c>
      <c r="K72" s="172">
        <f>J31*K$85*5</f>
        <v>0</v>
      </c>
      <c r="L72" s="172">
        <f>K31*L$85*5</f>
        <v>0</v>
      </c>
      <c r="M72" s="172"/>
      <c r="N72" s="172">
        <f t="shared" ref="N72:N78" si="61">L31*N$85*5</f>
        <v>0</v>
      </c>
      <c r="O72" s="172">
        <f>N31*O$85*5</f>
        <v>0</v>
      </c>
      <c r="P72" s="172">
        <f>O31*P$85*5</f>
        <v>120.56087288000001</v>
      </c>
      <c r="Q72" s="172">
        <f>P31*Q$85*5</f>
        <v>166.71968837999998</v>
      </c>
      <c r="R72" s="172">
        <f>Q31*R$85*5</f>
        <v>224.53804771999998</v>
      </c>
      <c r="S72" s="172"/>
      <c r="T72" s="172">
        <f t="shared" ref="T72:T78" si="62">R31*T$85*5</f>
        <v>274.62236522000001</v>
      </c>
      <c r="U72" s="172">
        <f>T31*U$85*5</f>
        <v>270.04203603999997</v>
      </c>
      <c r="V72" s="172">
        <f>U31*V$85*5</f>
        <v>0</v>
      </c>
      <c r="W72" s="172">
        <f>V31*W$85*5</f>
        <v>0</v>
      </c>
      <c r="X72" s="172"/>
      <c r="Y72" s="172">
        <f t="shared" ref="Y72:Y78" si="63">W31*Y$85*5</f>
        <v>0</v>
      </c>
      <c r="Z72" s="172">
        <f t="shared" ref="Z72:AA78" si="64">Y31*Z$85*5</f>
        <v>0</v>
      </c>
      <c r="AA72" s="172">
        <f t="shared" si="64"/>
        <v>0</v>
      </c>
      <c r="AB72" s="172"/>
      <c r="AC72" s="172">
        <f t="shared" ref="AC72:AC78" si="65">AA31*AC$85*5</f>
        <v>0</v>
      </c>
      <c r="AD72" s="172">
        <f t="shared" ref="AD72:AE78" si="66">AC31*AD$85*5</f>
        <v>0</v>
      </c>
      <c r="AE72" s="172">
        <f t="shared" si="66"/>
        <v>0</v>
      </c>
      <c r="AN72"/>
      <c r="AO72"/>
    </row>
    <row r="73" spans="2:41" s="34" customFormat="1" hidden="1">
      <c r="B73" s="171" t="s">
        <v>477</v>
      </c>
      <c r="F73" s="172">
        <f t="shared" si="59"/>
        <v>846.49996921357001</v>
      </c>
      <c r="G73" s="172">
        <f t="shared" ref="G73:V78" si="67">F32*G$85*5</f>
        <v>0</v>
      </c>
      <c r="H73" s="172">
        <f t="shared" si="67"/>
        <v>0</v>
      </c>
      <c r="I73" s="172"/>
      <c r="J73" s="172">
        <f t="shared" si="60"/>
        <v>0</v>
      </c>
      <c r="K73" s="172">
        <f t="shared" si="67"/>
        <v>0</v>
      </c>
      <c r="L73" s="172">
        <f t="shared" si="67"/>
        <v>0</v>
      </c>
      <c r="M73" s="172"/>
      <c r="N73" s="172">
        <f t="shared" si="61"/>
        <v>0</v>
      </c>
      <c r="O73" s="172">
        <f t="shared" si="67"/>
        <v>0</v>
      </c>
      <c r="P73" s="172">
        <f t="shared" si="67"/>
        <v>77.280029260000006</v>
      </c>
      <c r="Q73" s="172">
        <f t="shared" si="67"/>
        <v>120.56087288000001</v>
      </c>
      <c r="R73" s="172">
        <f t="shared" si="67"/>
        <v>166.71968837999998</v>
      </c>
      <c r="S73" s="172"/>
      <c r="T73" s="172">
        <f t="shared" si="62"/>
        <v>216.79148507366</v>
      </c>
      <c r="U73" s="172">
        <f t="shared" si="67"/>
        <v>265.14789361991001</v>
      </c>
      <c r="V73" s="172">
        <f t="shared" si="67"/>
        <v>0</v>
      </c>
      <c r="W73" s="172">
        <f t="shared" ref="W73:W78" si="68">V32*W$85*5</f>
        <v>0</v>
      </c>
      <c r="X73" s="172"/>
      <c r="Y73" s="172">
        <f t="shared" si="63"/>
        <v>0</v>
      </c>
      <c r="Z73" s="172">
        <f t="shared" si="64"/>
        <v>0</v>
      </c>
      <c r="AA73" s="172">
        <f t="shared" si="64"/>
        <v>0</v>
      </c>
      <c r="AB73" s="172"/>
      <c r="AC73" s="172">
        <f t="shared" si="65"/>
        <v>0</v>
      </c>
      <c r="AD73" s="172">
        <f t="shared" si="66"/>
        <v>0</v>
      </c>
      <c r="AE73" s="172">
        <f t="shared" si="66"/>
        <v>0</v>
      </c>
      <c r="AN73"/>
      <c r="AO73"/>
    </row>
    <row r="74" spans="2:41" s="34" customFormat="1" hidden="1">
      <c r="B74" s="171" t="s">
        <v>478</v>
      </c>
      <c r="F74" s="172">
        <f t="shared" si="59"/>
        <v>614.6327005823307</v>
      </c>
      <c r="G74" s="172">
        <f t="shared" si="67"/>
        <v>0</v>
      </c>
      <c r="H74" s="172">
        <f t="shared" si="67"/>
        <v>0</v>
      </c>
      <c r="I74" s="172"/>
      <c r="J74" s="172">
        <f t="shared" si="60"/>
        <v>0</v>
      </c>
      <c r="K74" s="172">
        <f t="shared" si="67"/>
        <v>0</v>
      </c>
      <c r="L74" s="172">
        <f t="shared" si="67"/>
        <v>0</v>
      </c>
      <c r="M74" s="172"/>
      <c r="N74" s="172">
        <f t="shared" si="61"/>
        <v>0</v>
      </c>
      <c r="O74" s="172">
        <f t="shared" si="67"/>
        <v>0</v>
      </c>
      <c r="P74" s="172">
        <f t="shared" si="67"/>
        <v>48.141682959999997</v>
      </c>
      <c r="Q74" s="172">
        <f t="shared" si="67"/>
        <v>77.280029260000006</v>
      </c>
      <c r="R74" s="172">
        <f t="shared" si="67"/>
        <v>120.56087288000001</v>
      </c>
      <c r="S74" s="172"/>
      <c r="T74" s="172">
        <f t="shared" si="62"/>
        <v>160.259300455275</v>
      </c>
      <c r="U74" s="172">
        <f t="shared" si="67"/>
        <v>208.39081502705568</v>
      </c>
      <c r="V74" s="172">
        <f t="shared" si="67"/>
        <v>0</v>
      </c>
      <c r="W74" s="172">
        <f t="shared" si="68"/>
        <v>0</v>
      </c>
      <c r="X74" s="172"/>
      <c r="Y74" s="172">
        <f t="shared" si="63"/>
        <v>0</v>
      </c>
      <c r="Z74" s="172">
        <f t="shared" si="64"/>
        <v>0</v>
      </c>
      <c r="AA74" s="172">
        <f t="shared" si="64"/>
        <v>0</v>
      </c>
      <c r="AB74" s="172"/>
      <c r="AC74" s="172">
        <f t="shared" si="65"/>
        <v>0</v>
      </c>
      <c r="AD74" s="172">
        <f t="shared" si="66"/>
        <v>0</v>
      </c>
      <c r="AE74" s="172">
        <f t="shared" si="66"/>
        <v>0</v>
      </c>
      <c r="AN74"/>
      <c r="AO74"/>
    </row>
    <row r="75" spans="2:41" s="34" customFormat="1" hidden="1">
      <c r="B75" s="171" t="s">
        <v>534</v>
      </c>
      <c r="F75" s="172">
        <f t="shared" si="59"/>
        <v>428.72960254186978</v>
      </c>
      <c r="G75" s="172">
        <f t="shared" si="67"/>
        <v>0</v>
      </c>
      <c r="H75" s="172">
        <f t="shared" si="67"/>
        <v>0</v>
      </c>
      <c r="I75" s="172"/>
      <c r="J75" s="172">
        <f t="shared" si="60"/>
        <v>0</v>
      </c>
      <c r="K75" s="172">
        <f t="shared" si="67"/>
        <v>0</v>
      </c>
      <c r="L75" s="172">
        <f t="shared" si="67"/>
        <v>0</v>
      </c>
      <c r="M75" s="172"/>
      <c r="N75" s="172">
        <f t="shared" si="61"/>
        <v>0</v>
      </c>
      <c r="O75" s="172">
        <f t="shared" si="67"/>
        <v>0</v>
      </c>
      <c r="P75" s="172">
        <f t="shared" si="67"/>
        <v>32.878063400000002</v>
      </c>
      <c r="Q75" s="172">
        <f t="shared" si="67"/>
        <v>48.141682959999997</v>
      </c>
      <c r="R75" s="172">
        <f t="shared" si="67"/>
        <v>77.280029260000006</v>
      </c>
      <c r="S75" s="172"/>
      <c r="T75" s="172">
        <f t="shared" si="62"/>
        <v>116.10012058344</v>
      </c>
      <c r="U75" s="172">
        <f t="shared" si="67"/>
        <v>154.32970633842982</v>
      </c>
      <c r="V75" s="172">
        <f t="shared" si="67"/>
        <v>0</v>
      </c>
      <c r="W75" s="172">
        <f t="shared" si="68"/>
        <v>0</v>
      </c>
      <c r="X75" s="172"/>
      <c r="Y75" s="172">
        <f t="shared" si="63"/>
        <v>0</v>
      </c>
      <c r="Z75" s="172">
        <f t="shared" si="64"/>
        <v>0</v>
      </c>
      <c r="AA75" s="172">
        <f t="shared" si="64"/>
        <v>0</v>
      </c>
      <c r="AB75" s="172"/>
      <c r="AC75" s="172">
        <f t="shared" si="65"/>
        <v>0</v>
      </c>
      <c r="AD75" s="172">
        <f t="shared" si="66"/>
        <v>0</v>
      </c>
      <c r="AE75" s="172">
        <f t="shared" si="66"/>
        <v>0</v>
      </c>
      <c r="AN75"/>
      <c r="AO75"/>
    </row>
    <row r="76" spans="2:41" s="34" customFormat="1" hidden="1">
      <c r="B76" s="171" t="s">
        <v>535</v>
      </c>
      <c r="F76" s="172">
        <f t="shared" si="59"/>
        <v>294.51298065923271</v>
      </c>
      <c r="G76" s="172">
        <f t="shared" si="67"/>
        <v>0</v>
      </c>
      <c r="H76" s="172">
        <f t="shared" si="67"/>
        <v>0</v>
      </c>
      <c r="I76" s="172"/>
      <c r="J76" s="172">
        <f t="shared" si="60"/>
        <v>0</v>
      </c>
      <c r="K76" s="172">
        <f t="shared" si="67"/>
        <v>0</v>
      </c>
      <c r="L76" s="172">
        <f t="shared" si="67"/>
        <v>0</v>
      </c>
      <c r="M76" s="172"/>
      <c r="N76" s="172">
        <f t="shared" si="61"/>
        <v>0</v>
      </c>
      <c r="O76" s="172">
        <f t="shared" si="67"/>
        <v>0</v>
      </c>
      <c r="P76" s="172">
        <f t="shared" si="67"/>
        <v>27.268149999999999</v>
      </c>
      <c r="Q76" s="172">
        <f t="shared" si="67"/>
        <v>32.878063400000002</v>
      </c>
      <c r="R76" s="172">
        <f t="shared" si="67"/>
        <v>48.141682959999997</v>
      </c>
      <c r="S76" s="172"/>
      <c r="T76" s="172">
        <f t="shared" si="62"/>
        <v>74.420668177379994</v>
      </c>
      <c r="U76" s="172">
        <f t="shared" si="67"/>
        <v>111.80441612185274</v>
      </c>
      <c r="V76" s="172">
        <f t="shared" si="67"/>
        <v>0</v>
      </c>
      <c r="W76" s="172">
        <f t="shared" si="68"/>
        <v>0</v>
      </c>
      <c r="X76" s="172"/>
      <c r="Y76" s="172">
        <f t="shared" si="63"/>
        <v>0</v>
      </c>
      <c r="Z76" s="172">
        <f t="shared" si="64"/>
        <v>0</v>
      </c>
      <c r="AA76" s="172">
        <f t="shared" si="64"/>
        <v>0</v>
      </c>
      <c r="AB76" s="172"/>
      <c r="AC76" s="172">
        <f t="shared" si="65"/>
        <v>0</v>
      </c>
      <c r="AD76" s="172">
        <f t="shared" si="66"/>
        <v>0</v>
      </c>
      <c r="AE76" s="172">
        <f t="shared" si="66"/>
        <v>0</v>
      </c>
      <c r="AN76"/>
      <c r="AO76"/>
    </row>
    <row r="77" spans="2:41" s="34" customFormat="1" hidden="1">
      <c r="B77" s="171" t="s">
        <v>536</v>
      </c>
      <c r="F77" s="172">
        <f t="shared" si="59"/>
        <v>204.92180754529693</v>
      </c>
      <c r="G77" s="172">
        <f t="shared" si="67"/>
        <v>0</v>
      </c>
      <c r="H77" s="172">
        <f t="shared" si="67"/>
        <v>0</v>
      </c>
      <c r="I77" s="172"/>
      <c r="J77" s="172">
        <f t="shared" si="60"/>
        <v>0</v>
      </c>
      <c r="K77" s="172">
        <f t="shared" si="67"/>
        <v>0</v>
      </c>
      <c r="L77" s="172">
        <f t="shared" si="67"/>
        <v>0</v>
      </c>
      <c r="M77" s="172"/>
      <c r="N77" s="172">
        <f t="shared" si="61"/>
        <v>0</v>
      </c>
      <c r="O77" s="172">
        <f t="shared" si="67"/>
        <v>0</v>
      </c>
      <c r="P77" s="172">
        <f t="shared" si="67"/>
        <v>26.748049999999996</v>
      </c>
      <c r="Q77" s="172">
        <f t="shared" si="67"/>
        <v>27.268149999999999</v>
      </c>
      <c r="R77" s="172">
        <f t="shared" si="67"/>
        <v>32.878063400000002</v>
      </c>
      <c r="S77" s="172"/>
      <c r="T77" s="172">
        <f t="shared" si="62"/>
        <v>46.36044069047999</v>
      </c>
      <c r="U77" s="172">
        <f t="shared" si="67"/>
        <v>71.667103454816939</v>
      </c>
      <c r="V77" s="172">
        <f t="shared" si="67"/>
        <v>0</v>
      </c>
      <c r="W77" s="172">
        <f t="shared" si="68"/>
        <v>0</v>
      </c>
      <c r="X77" s="172"/>
      <c r="Y77" s="172">
        <f t="shared" si="63"/>
        <v>0</v>
      </c>
      <c r="Z77" s="172">
        <f t="shared" si="64"/>
        <v>0</v>
      </c>
      <c r="AA77" s="172">
        <f t="shared" si="64"/>
        <v>0</v>
      </c>
      <c r="AB77" s="172"/>
      <c r="AC77" s="172">
        <f t="shared" si="65"/>
        <v>0</v>
      </c>
      <c r="AD77" s="172">
        <f t="shared" si="66"/>
        <v>0</v>
      </c>
      <c r="AE77" s="172">
        <f t="shared" si="66"/>
        <v>0</v>
      </c>
      <c r="AN77"/>
      <c r="AO77"/>
    </row>
    <row r="78" spans="2:41" s="34" customFormat="1" hidden="1">
      <c r="B78" s="169" t="s">
        <v>537</v>
      </c>
      <c r="C78" s="156"/>
      <c r="D78" s="156"/>
      <c r="E78" s="156"/>
      <c r="F78" s="188">
        <f t="shared" si="59"/>
        <v>152.21887943913222</v>
      </c>
      <c r="G78" s="188">
        <f t="shared" si="67"/>
        <v>0</v>
      </c>
      <c r="H78" s="188">
        <f t="shared" si="67"/>
        <v>0</v>
      </c>
      <c r="I78" s="188"/>
      <c r="J78" s="188">
        <f t="shared" si="60"/>
        <v>0</v>
      </c>
      <c r="K78" s="188">
        <f t="shared" si="67"/>
        <v>0</v>
      </c>
      <c r="L78" s="188">
        <f t="shared" si="67"/>
        <v>0</v>
      </c>
      <c r="M78" s="188"/>
      <c r="N78" s="188">
        <f t="shared" si="61"/>
        <v>0</v>
      </c>
      <c r="O78" s="188">
        <f t="shared" si="67"/>
        <v>0</v>
      </c>
      <c r="P78" s="188">
        <f t="shared" si="67"/>
        <v>21.896000000000001</v>
      </c>
      <c r="Q78" s="188">
        <f t="shared" si="67"/>
        <v>26.748049999999996</v>
      </c>
      <c r="R78" s="188">
        <f t="shared" si="67"/>
        <v>27.268149999999999</v>
      </c>
      <c r="S78" s="188"/>
      <c r="T78" s="188">
        <f t="shared" si="62"/>
        <v>31.661575054200007</v>
      </c>
      <c r="U78" s="188">
        <f t="shared" si="67"/>
        <v>44.645104384932239</v>
      </c>
      <c r="V78" s="188">
        <f t="shared" si="67"/>
        <v>0</v>
      </c>
      <c r="W78" s="188">
        <f t="shared" si="68"/>
        <v>0</v>
      </c>
      <c r="X78" s="188"/>
      <c r="Y78" s="188">
        <f t="shared" si="63"/>
        <v>0</v>
      </c>
      <c r="Z78" s="188">
        <f t="shared" si="64"/>
        <v>0</v>
      </c>
      <c r="AA78" s="188">
        <f t="shared" si="64"/>
        <v>0</v>
      </c>
      <c r="AB78" s="188"/>
      <c r="AC78" s="188">
        <f t="shared" si="65"/>
        <v>0</v>
      </c>
      <c r="AD78" s="188">
        <f t="shared" si="66"/>
        <v>0</v>
      </c>
      <c r="AE78" s="188">
        <f t="shared" si="66"/>
        <v>0</v>
      </c>
      <c r="AN78"/>
      <c r="AO78"/>
    </row>
    <row r="79" spans="2:41" s="34" customFormat="1" hidden="1">
      <c r="AN79"/>
      <c r="AO79"/>
    </row>
    <row r="80" spans="2:41" s="34" customFormat="1" hidden="1">
      <c r="AN80"/>
      <c r="AO80"/>
    </row>
    <row r="81" spans="2:41" s="34" customFormat="1" hidden="1">
      <c r="B81" s="156" t="s">
        <v>523</v>
      </c>
      <c r="C81" s="156"/>
      <c r="D81" s="156"/>
      <c r="E81" s="156"/>
      <c r="F81" s="156"/>
      <c r="G81" s="156"/>
      <c r="H81" s="156"/>
      <c r="I81" s="156"/>
      <c r="J81" s="156"/>
      <c r="K81" s="156"/>
      <c r="L81" s="156"/>
      <c r="M81" s="156"/>
      <c r="N81" s="156"/>
      <c r="O81" s="156"/>
      <c r="P81" s="156"/>
      <c r="Q81" s="156"/>
      <c r="R81" s="156"/>
      <c r="S81" s="156"/>
      <c r="T81" s="156"/>
      <c r="U81" s="156"/>
      <c r="V81" s="156"/>
      <c r="W81" s="156"/>
      <c r="X81" s="156"/>
      <c r="Y81" s="156"/>
      <c r="Z81" s="156"/>
      <c r="AA81" s="156"/>
      <c r="AB81" s="156"/>
      <c r="AC81" s="156"/>
      <c r="AD81" s="156"/>
      <c r="AE81" s="156"/>
      <c r="AN81"/>
      <c r="AO81"/>
    </row>
    <row r="82" spans="2:41" s="34" customFormat="1" ht="14.1" hidden="1" customHeight="1">
      <c r="B82" s="167" t="s">
        <v>519</v>
      </c>
      <c r="C82" s="168"/>
      <c r="D82" s="168"/>
      <c r="E82" s="156"/>
      <c r="F82" s="169" t="s">
        <v>372</v>
      </c>
      <c r="G82" s="169" t="s">
        <v>373</v>
      </c>
      <c r="H82" s="169">
        <v>2</v>
      </c>
      <c r="I82" s="169"/>
      <c r="J82" s="169">
        <v>3</v>
      </c>
      <c r="K82" s="169">
        <v>4</v>
      </c>
      <c r="L82" s="169">
        <v>5</v>
      </c>
      <c r="M82" s="169"/>
      <c r="N82" s="169">
        <v>6</v>
      </c>
      <c r="O82" s="169">
        <v>7</v>
      </c>
      <c r="P82" s="169">
        <v>8</v>
      </c>
      <c r="Q82" s="169">
        <v>9</v>
      </c>
      <c r="R82" s="169">
        <v>10</v>
      </c>
      <c r="S82" s="169"/>
      <c r="T82" s="169">
        <v>11</v>
      </c>
      <c r="U82" s="169">
        <v>12</v>
      </c>
      <c r="V82" s="169">
        <v>13</v>
      </c>
      <c r="W82" s="169">
        <v>14</v>
      </c>
      <c r="X82" s="169"/>
      <c r="Y82" s="169">
        <v>15</v>
      </c>
      <c r="Z82" s="169">
        <v>16</v>
      </c>
      <c r="AA82" s="169">
        <v>17</v>
      </c>
      <c r="AB82" s="169"/>
      <c r="AC82" s="169">
        <v>18</v>
      </c>
      <c r="AD82" s="169">
        <v>19</v>
      </c>
      <c r="AE82" s="169" t="s">
        <v>510</v>
      </c>
      <c r="AN82"/>
      <c r="AO82"/>
    </row>
    <row r="83" spans="2:41" s="34" customFormat="1" ht="15.95" hidden="1" customHeight="1">
      <c r="B83" s="34" t="s">
        <v>380</v>
      </c>
      <c r="G83" s="173"/>
      <c r="H83" s="173"/>
      <c r="I83" s="173"/>
      <c r="J83" s="173"/>
      <c r="K83" s="173"/>
      <c r="L83" s="173"/>
      <c r="M83" s="173"/>
      <c r="N83" s="173"/>
      <c r="O83" s="173"/>
      <c r="P83" s="173"/>
      <c r="Q83" s="173"/>
      <c r="R83" s="174">
        <v>5.0000000000000001E-3</v>
      </c>
      <c r="S83" s="174"/>
      <c r="T83" s="174">
        <v>5.0000000000000001E-3</v>
      </c>
      <c r="U83" s="174">
        <v>6.6E-3</v>
      </c>
      <c r="V83" s="174">
        <v>8.2000000000000007E-3</v>
      </c>
      <c r="W83" s="174">
        <v>8.2000000000000007E-3</v>
      </c>
      <c r="X83" s="174"/>
      <c r="Y83" s="174">
        <v>8.2000000000000007E-3</v>
      </c>
      <c r="Z83" s="174">
        <v>8.2000000000000007E-3</v>
      </c>
      <c r="AA83" s="174">
        <v>8.2000000000000007E-3</v>
      </c>
      <c r="AB83" s="174"/>
      <c r="AC83" s="174">
        <v>8.2000000000000007E-3</v>
      </c>
      <c r="AD83" s="174">
        <v>8.2000000000000007E-3</v>
      </c>
      <c r="AE83" s="174">
        <v>8.2000000000000007E-3</v>
      </c>
      <c r="AN83"/>
      <c r="AO83"/>
    </row>
    <row r="84" spans="2:41" s="34" customFormat="1" ht="15.95" hidden="1" customHeight="1">
      <c r="B84" s="34" t="s">
        <v>524</v>
      </c>
      <c r="G84" s="173"/>
      <c r="H84" s="173"/>
      <c r="I84" s="173"/>
      <c r="J84" s="173"/>
      <c r="K84" s="173"/>
      <c r="L84" s="174">
        <v>0.10940000000000001</v>
      </c>
      <c r="M84" s="174"/>
      <c r="N84" s="174">
        <v>0.10940000000000001</v>
      </c>
      <c r="O84" s="174">
        <v>0.10940000000000001</v>
      </c>
      <c r="P84" s="174">
        <v>3.2800000000000003E-2</v>
      </c>
      <c r="Q84" s="174">
        <v>3.2800000000000003E-2</v>
      </c>
      <c r="R84" s="174">
        <v>3.2800000000000003E-2</v>
      </c>
      <c r="S84" s="174"/>
      <c r="T84" s="174"/>
      <c r="U84" s="174"/>
      <c r="V84" s="173"/>
      <c r="W84" s="173"/>
      <c r="X84" s="173"/>
      <c r="Y84" s="173"/>
      <c r="Z84" s="173"/>
      <c r="AA84" s="173"/>
      <c r="AB84" s="173"/>
      <c r="AC84" s="173"/>
      <c r="AD84" s="173"/>
      <c r="AE84" s="173"/>
      <c r="AN84"/>
      <c r="AO84"/>
    </row>
    <row r="85" spans="2:41" s="34" customFormat="1" ht="15.95" hidden="1" customHeight="1">
      <c r="B85" s="156" t="s">
        <v>384</v>
      </c>
      <c r="C85" s="156"/>
      <c r="D85" s="156"/>
      <c r="E85" s="156"/>
      <c r="F85" s="156"/>
      <c r="G85" s="175"/>
      <c r="H85" s="175"/>
      <c r="I85" s="175"/>
      <c r="J85" s="175"/>
      <c r="K85" s="175"/>
      <c r="L85" s="176"/>
      <c r="M85" s="176"/>
      <c r="N85" s="176"/>
      <c r="O85" s="176"/>
      <c r="P85" s="176">
        <v>3.4999999999999996E-2</v>
      </c>
      <c r="Q85" s="176">
        <v>3.4999999999999996E-2</v>
      </c>
      <c r="R85" s="176">
        <v>3.4999999999999996E-2</v>
      </c>
      <c r="S85" s="176"/>
      <c r="T85" s="176">
        <v>3.4999999999999996E-2</v>
      </c>
      <c r="U85" s="176">
        <v>3.4999999999999996E-2</v>
      </c>
      <c r="V85" s="175"/>
      <c r="W85" s="175"/>
      <c r="X85" s="175"/>
      <c r="Y85" s="175"/>
      <c r="Z85" s="175"/>
      <c r="AA85" s="175"/>
      <c r="AB85" s="175"/>
      <c r="AC85" s="175"/>
      <c r="AD85" s="175"/>
      <c r="AE85" s="175"/>
      <c r="AN85"/>
      <c r="AO85"/>
    </row>
    <row r="86" spans="2:41" s="34" customFormat="1" ht="15.95" hidden="1" customHeight="1">
      <c r="B86" s="177" t="s">
        <v>525</v>
      </c>
      <c r="C86" s="177"/>
      <c r="D86" s="177"/>
      <c r="E86" s="177"/>
      <c r="F86" s="177"/>
      <c r="G86" s="178">
        <v>67</v>
      </c>
      <c r="H86" s="179">
        <v>7</v>
      </c>
      <c r="I86" s="179"/>
      <c r="J86" s="179"/>
      <c r="K86" s="179"/>
      <c r="L86" s="179">
        <v>6</v>
      </c>
      <c r="M86" s="179"/>
      <c r="N86" s="179">
        <v>6</v>
      </c>
      <c r="O86" s="179">
        <v>6</v>
      </c>
      <c r="P86" s="178">
        <v>6</v>
      </c>
      <c r="Q86" s="178">
        <v>6</v>
      </c>
      <c r="R86" s="178">
        <v>6</v>
      </c>
      <c r="S86" s="178"/>
      <c r="T86" s="178">
        <v>6</v>
      </c>
      <c r="U86" s="178">
        <v>6</v>
      </c>
      <c r="V86" s="180"/>
      <c r="W86" s="180"/>
      <c r="X86" s="180"/>
      <c r="Y86" s="180"/>
      <c r="Z86" s="180"/>
      <c r="AA86" s="180"/>
      <c r="AB86" s="180"/>
      <c r="AC86" s="180"/>
      <c r="AD86" s="180"/>
      <c r="AE86" s="180"/>
      <c r="AN86"/>
      <c r="AO86"/>
    </row>
    <row r="87" spans="2:41" s="34" customFormat="1" ht="15.95" hidden="1" customHeight="1">
      <c r="B87" s="156" t="s">
        <v>526</v>
      </c>
      <c r="C87" s="156"/>
      <c r="D87" s="156"/>
      <c r="E87" s="156"/>
      <c r="F87" s="156"/>
      <c r="G87" s="181">
        <v>35</v>
      </c>
      <c r="H87" s="181">
        <v>7</v>
      </c>
      <c r="I87" s="181"/>
      <c r="J87" s="181"/>
      <c r="K87" s="181"/>
      <c r="L87" s="181">
        <v>6</v>
      </c>
      <c r="M87" s="181"/>
      <c r="N87" s="181">
        <v>6</v>
      </c>
      <c r="O87" s="181">
        <v>6</v>
      </c>
      <c r="P87" s="181">
        <v>6</v>
      </c>
      <c r="Q87" s="181">
        <v>6</v>
      </c>
      <c r="R87" s="181">
        <v>6</v>
      </c>
      <c r="S87" s="181"/>
      <c r="T87" s="181">
        <v>6</v>
      </c>
      <c r="U87" s="181">
        <v>6</v>
      </c>
      <c r="V87" s="180"/>
      <c r="W87" s="180"/>
      <c r="X87" s="180"/>
      <c r="Y87" s="180"/>
      <c r="Z87" s="180"/>
      <c r="AA87" s="180"/>
      <c r="AB87" s="180"/>
      <c r="AC87" s="180"/>
      <c r="AD87" s="180"/>
      <c r="AE87" s="180"/>
      <c r="AN87"/>
      <c r="AO87"/>
    </row>
    <row r="88" spans="2:41" s="34" customFormat="1" ht="15.95" hidden="1" customHeight="1">
      <c r="B88" s="34" t="s">
        <v>527</v>
      </c>
      <c r="F88" s="173">
        <v>0.18099999999999999</v>
      </c>
      <c r="H88" s="293" t="s">
        <v>348</v>
      </c>
      <c r="I88" s="293"/>
      <c r="J88" s="293"/>
      <c r="L88" s="293" t="s">
        <v>315</v>
      </c>
      <c r="M88" s="293"/>
      <c r="N88" s="293"/>
      <c r="O88" s="293"/>
      <c r="AN88"/>
      <c r="AO88"/>
    </row>
    <row r="89" spans="2:41" s="34" customFormat="1" ht="15.95" hidden="1" customHeight="1">
      <c r="B89" s="156" t="s">
        <v>528</v>
      </c>
      <c r="C89" s="156"/>
      <c r="D89" s="156"/>
      <c r="E89" s="156"/>
      <c r="F89" s="175">
        <v>0.18099999999999999</v>
      </c>
      <c r="G89" s="177"/>
      <c r="H89" s="182" t="s">
        <v>413</v>
      </c>
      <c r="I89" s="182"/>
      <c r="J89" s="182" t="s">
        <v>352</v>
      </c>
      <c r="K89" s="171"/>
      <c r="L89" s="171" t="s">
        <v>316</v>
      </c>
      <c r="M89" s="171"/>
      <c r="N89" s="171" t="s">
        <v>319</v>
      </c>
      <c r="O89" s="171" t="s">
        <v>317</v>
      </c>
      <c r="AN89"/>
      <c r="AO89"/>
    </row>
    <row r="90" spans="2:41" s="34" customFormat="1" ht="15.95" hidden="1" customHeight="1">
      <c r="B90" s="177" t="s">
        <v>396</v>
      </c>
      <c r="C90" s="177"/>
      <c r="D90" s="177"/>
      <c r="E90" s="177"/>
      <c r="F90" s="183">
        <v>2.380019118738079E-3</v>
      </c>
      <c r="H90" s="184"/>
      <c r="I90" s="184"/>
      <c r="J90" s="184"/>
      <c r="K90" s="171"/>
      <c r="L90" s="169" t="s">
        <v>416</v>
      </c>
      <c r="M90" s="169"/>
      <c r="N90" s="169" t="s">
        <v>541</v>
      </c>
      <c r="O90" s="169" t="s">
        <v>416</v>
      </c>
      <c r="AN90"/>
      <c r="AO90"/>
    </row>
    <row r="91" spans="2:41" s="34" customFormat="1" ht="15.95" hidden="1" customHeight="1">
      <c r="B91" s="156" t="s">
        <v>530</v>
      </c>
      <c r="C91" s="156"/>
      <c r="D91" s="156"/>
      <c r="E91" s="156"/>
      <c r="F91" s="181">
        <v>132</v>
      </c>
      <c r="G91" s="156"/>
      <c r="H91" s="185">
        <v>0.48884013273989008</v>
      </c>
      <c r="I91" s="185"/>
      <c r="J91" s="185">
        <v>0.19157384736886188</v>
      </c>
      <c r="K91" s="156"/>
      <c r="L91" s="185">
        <v>0.74346590950120928</v>
      </c>
      <c r="M91" s="185"/>
      <c r="N91" s="185">
        <v>0.56999999999999995</v>
      </c>
      <c r="O91" s="185">
        <v>0.74346590950120928</v>
      </c>
      <c r="AN91"/>
      <c r="AO91"/>
    </row>
    <row r="92" spans="2:41" s="34" customFormat="1" ht="15.95" hidden="1" customHeight="1">
      <c r="AN92"/>
      <c r="AO92"/>
    </row>
    <row r="93" spans="2:41" ht="15.95" customHeight="1"/>
    <row r="94" spans="2:41" ht="15.95" customHeight="1"/>
    <row r="95" spans="2:41" ht="15.95" customHeight="1"/>
    <row r="96" spans="2:41" ht="15.95" customHeight="1"/>
    <row r="97" ht="15.95" customHeight="1"/>
    <row r="98" ht="15.95" customHeight="1"/>
  </sheetData>
  <mergeCells count="35">
    <mergeCell ref="H88:J88"/>
    <mergeCell ref="L88:O88"/>
    <mergeCell ref="U7:U8"/>
    <mergeCell ref="V7:V8"/>
    <mergeCell ref="W7:W8"/>
    <mergeCell ref="AN6:AO6"/>
    <mergeCell ref="F7:F8"/>
    <mergeCell ref="G7:G8"/>
    <mergeCell ref="H7:H8"/>
    <mergeCell ref="J7:J8"/>
    <mergeCell ref="K7:K8"/>
    <mergeCell ref="L7:L8"/>
    <mergeCell ref="N7:N8"/>
    <mergeCell ref="O7:O8"/>
    <mergeCell ref="Y6:AA6"/>
    <mergeCell ref="AC7:AC8"/>
    <mergeCell ref="AD7:AD8"/>
    <mergeCell ref="AE7:AG7"/>
    <mergeCell ref="AH7:AH8"/>
    <mergeCell ref="Y7:Y8"/>
    <mergeCell ref="Z7:Z8"/>
    <mergeCell ref="AK7:AK8"/>
    <mergeCell ref="AJ7:AJ8"/>
    <mergeCell ref="AJ6:AK6"/>
    <mergeCell ref="D6:D8"/>
    <mergeCell ref="F6:H6"/>
    <mergeCell ref="J6:L6"/>
    <mergeCell ref="N6:R6"/>
    <mergeCell ref="T6:W6"/>
    <mergeCell ref="P7:P8"/>
    <mergeCell ref="Q7:Q8"/>
    <mergeCell ref="R7:R8"/>
    <mergeCell ref="T7:T8"/>
    <mergeCell ref="AC6:AH6"/>
    <mergeCell ref="AA7:AA8"/>
  </mergeCells>
  <phoneticPr fontId="4"/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FF99FF"/>
    <pageSetUpPr fitToPage="1"/>
  </sheetPr>
  <dimension ref="A1:AK74"/>
  <sheetViews>
    <sheetView showGridLines="0" workbookViewId="0">
      <selection activeCell="AF72" sqref="AF72"/>
    </sheetView>
  </sheetViews>
  <sheetFormatPr defaultRowHeight="13.5"/>
  <cols>
    <col min="1" max="1" width="2.625" customWidth="1"/>
    <col min="2" max="2" width="9.625" customWidth="1"/>
    <col min="3" max="3" width="1.625" customWidth="1"/>
    <col min="4" max="4" width="9.125" customWidth="1"/>
    <col min="5" max="5" width="1.625" customWidth="1"/>
    <col min="6" max="6" width="8.625" customWidth="1"/>
    <col min="7" max="8" width="7.625" customWidth="1"/>
    <col min="9" max="9" width="1.625" customWidth="1"/>
    <col min="10" max="10" width="6.625" customWidth="1"/>
    <col min="11" max="11" width="7.625" customWidth="1"/>
    <col min="12" max="12" width="8.125" customWidth="1"/>
    <col min="13" max="13" width="1.625" customWidth="1"/>
    <col min="14" max="14" width="6.625" customWidth="1"/>
    <col min="15" max="18" width="7.625" customWidth="1"/>
    <col min="19" max="19" width="1.625" customWidth="1"/>
    <col min="20" max="20" width="7.125" customWidth="1"/>
    <col min="21" max="23" width="7.625" customWidth="1"/>
    <col min="24" max="24" width="1.625" customWidth="1"/>
    <col min="25" max="25" width="7.125" customWidth="1"/>
    <col min="26" max="27" width="7.625" customWidth="1"/>
    <col min="28" max="28" width="1.625" customWidth="1"/>
    <col min="29" max="29" width="6.625" customWidth="1"/>
    <col min="30" max="30" width="8.125" customWidth="1"/>
    <col min="31" max="32" width="7.625" customWidth="1"/>
    <col min="33" max="33" width="8.625" customWidth="1"/>
    <col min="34" max="34" width="8.125" customWidth="1"/>
    <col min="36" max="37" width="9" style="137" hidden="1" customWidth="1"/>
    <col min="38" max="16384" width="9" style="137"/>
  </cols>
  <sheetData>
    <row r="1" spans="1:37">
      <c r="A1" s="1" t="s">
        <v>674</v>
      </c>
      <c r="B1" s="1"/>
      <c r="C1" s="1"/>
      <c r="D1" s="1"/>
      <c r="E1" s="1"/>
      <c r="K1" s="152"/>
      <c r="AJ1" s="153" t="s">
        <v>487</v>
      </c>
      <c r="AK1" s="34"/>
    </row>
    <row r="2" spans="1:37">
      <c r="B2" s="39" t="s">
        <v>551</v>
      </c>
      <c r="C2" s="11"/>
      <c r="D2" s="11"/>
      <c r="E2" s="11"/>
      <c r="K2" s="154"/>
      <c r="AJ2" s="34"/>
      <c r="AK2" s="34"/>
    </row>
    <row r="3" spans="1:37">
      <c r="K3" s="155"/>
      <c r="P3" s="155"/>
      <c r="AJ3" s="34"/>
      <c r="AK3" s="34"/>
    </row>
    <row r="4" spans="1:37">
      <c r="C4" s="32" t="s">
        <v>543</v>
      </c>
      <c r="D4" t="s">
        <v>432</v>
      </c>
      <c r="F4" t="s">
        <v>544</v>
      </c>
      <c r="K4" t="str">
        <f>"再造林率：現状 ("&amp;TEXT(H67,"00%")&amp;")"</f>
        <v>再造林率：現状 (49%)</v>
      </c>
      <c r="AJ4" s="34"/>
      <c r="AK4" s="34"/>
    </row>
    <row r="5" spans="1:37" ht="15.95" customHeight="1">
      <c r="B5" s="2"/>
      <c r="C5" s="2"/>
      <c r="D5" s="2"/>
      <c r="E5" s="2"/>
      <c r="F5" s="3"/>
      <c r="G5" s="44"/>
      <c r="H5" s="2"/>
      <c r="I5" s="16"/>
      <c r="L5" s="2"/>
      <c r="M5" s="2"/>
      <c r="N5" s="2"/>
      <c r="O5" s="2"/>
      <c r="P5" s="2"/>
      <c r="Q5" s="3"/>
      <c r="R5" s="109"/>
      <c r="S5" s="109"/>
      <c r="T5" s="2"/>
      <c r="U5" s="3"/>
      <c r="V5" s="109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J5" s="156"/>
      <c r="AK5" s="156"/>
    </row>
    <row r="6" spans="1:37" ht="15.95" customHeight="1">
      <c r="B6" s="131"/>
      <c r="C6" s="131"/>
      <c r="D6" s="289" t="s">
        <v>490</v>
      </c>
      <c r="E6" s="104"/>
      <c r="F6" s="265" t="s">
        <v>399</v>
      </c>
      <c r="G6" s="265"/>
      <c r="H6" s="265"/>
      <c r="I6" s="104"/>
      <c r="J6" s="265" t="s">
        <v>400</v>
      </c>
      <c r="K6" s="265"/>
      <c r="L6" s="265"/>
      <c r="M6" s="104"/>
      <c r="N6" s="265" t="s">
        <v>689</v>
      </c>
      <c r="O6" s="265"/>
      <c r="P6" s="265"/>
      <c r="Q6" s="265"/>
      <c r="R6" s="265"/>
      <c r="S6" s="104"/>
      <c r="T6" s="265" t="s">
        <v>687</v>
      </c>
      <c r="U6" s="265"/>
      <c r="V6" s="265"/>
      <c r="W6" s="265"/>
      <c r="X6" s="104"/>
      <c r="Y6" s="265" t="s">
        <v>347</v>
      </c>
      <c r="Z6" s="265"/>
      <c r="AA6" s="265"/>
      <c r="AB6" s="104"/>
      <c r="AC6" s="265" t="s">
        <v>491</v>
      </c>
      <c r="AD6" s="265"/>
      <c r="AE6" s="265"/>
      <c r="AF6" s="265"/>
      <c r="AG6" s="265"/>
      <c r="AH6" s="265"/>
      <c r="AJ6" s="293" t="s">
        <v>492</v>
      </c>
      <c r="AK6" s="293"/>
    </row>
    <row r="7" spans="1:37" ht="15.95" customHeight="1">
      <c r="B7" s="15" t="s">
        <v>493</v>
      </c>
      <c r="C7" s="16"/>
      <c r="D7" s="276"/>
      <c r="E7" s="55"/>
      <c r="F7" s="289" t="s">
        <v>1</v>
      </c>
      <c r="G7" s="289" t="s">
        <v>316</v>
      </c>
      <c r="H7" s="289" t="s">
        <v>317</v>
      </c>
      <c r="I7" s="55"/>
      <c r="J7" s="289" t="s">
        <v>1</v>
      </c>
      <c r="K7" s="289" t="s">
        <v>401</v>
      </c>
      <c r="L7" s="289" t="s">
        <v>319</v>
      </c>
      <c r="M7" s="55"/>
      <c r="N7" s="289" t="s">
        <v>1</v>
      </c>
      <c r="O7" s="289" t="s">
        <v>494</v>
      </c>
      <c r="P7" s="289" t="s">
        <v>403</v>
      </c>
      <c r="Q7" s="289" t="s">
        <v>495</v>
      </c>
      <c r="R7" s="289" t="s">
        <v>496</v>
      </c>
      <c r="S7" s="55"/>
      <c r="T7" s="289" t="s">
        <v>1</v>
      </c>
      <c r="U7" s="289" t="s">
        <v>494</v>
      </c>
      <c r="V7" s="289" t="s">
        <v>495</v>
      </c>
      <c r="W7" s="289" t="s">
        <v>496</v>
      </c>
      <c r="X7" s="55"/>
      <c r="Y7" s="289" t="s">
        <v>1</v>
      </c>
      <c r="Z7" s="289" t="s">
        <v>413</v>
      </c>
      <c r="AA7" s="289" t="s">
        <v>352</v>
      </c>
      <c r="AB7" s="55"/>
      <c r="AC7" s="289" t="s">
        <v>1</v>
      </c>
      <c r="AD7" s="289" t="s">
        <v>497</v>
      </c>
      <c r="AE7" s="286" t="s">
        <v>498</v>
      </c>
      <c r="AF7" s="286"/>
      <c r="AG7" s="286"/>
      <c r="AH7" s="289" t="s">
        <v>499</v>
      </c>
      <c r="AJ7" s="294" t="s">
        <v>500</v>
      </c>
      <c r="AK7" s="294" t="s">
        <v>501</v>
      </c>
    </row>
    <row r="8" spans="1:37" ht="15.95" customHeight="1">
      <c r="B8" s="6"/>
      <c r="D8" s="278"/>
      <c r="E8" s="55"/>
      <c r="F8" s="278"/>
      <c r="G8" s="278"/>
      <c r="H8" s="278"/>
      <c r="I8" s="55"/>
      <c r="J8" s="278"/>
      <c r="K8" s="278"/>
      <c r="L8" s="278"/>
      <c r="M8" s="55"/>
      <c r="N8" s="278"/>
      <c r="O8" s="278"/>
      <c r="P8" s="278"/>
      <c r="Q8" s="278"/>
      <c r="R8" s="278"/>
      <c r="S8" s="55"/>
      <c r="T8" s="278"/>
      <c r="U8" s="278"/>
      <c r="V8" s="278"/>
      <c r="W8" s="278"/>
      <c r="X8" s="55"/>
      <c r="Y8" s="278"/>
      <c r="Z8" s="278"/>
      <c r="AA8" s="278"/>
      <c r="AB8" s="55"/>
      <c r="AC8" s="278"/>
      <c r="AD8" s="278"/>
      <c r="AE8" s="56" t="s">
        <v>1</v>
      </c>
      <c r="AF8" s="56" t="s">
        <v>401</v>
      </c>
      <c r="AG8" s="56" t="s">
        <v>319</v>
      </c>
      <c r="AH8" s="278"/>
      <c r="AJ8" s="295"/>
      <c r="AK8" s="295"/>
    </row>
    <row r="9" spans="1:37" ht="14.1" customHeight="1">
      <c r="E9" s="16"/>
      <c r="F9" s="16" t="s">
        <v>474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71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J9" s="34"/>
      <c r="AK9" s="34"/>
    </row>
    <row r="10" spans="1:37" ht="14.1" customHeight="1">
      <c r="B10" s="106" t="s">
        <v>545</v>
      </c>
      <c r="D10" s="49"/>
      <c r="E10" s="110"/>
      <c r="F10" s="157">
        <f>SUM(G10:H10)</f>
        <v>70.447052880172407</v>
      </c>
      <c r="G10" s="157">
        <v>38.885333558651013</v>
      </c>
      <c r="H10" s="157">
        <v>31.561719321521402</v>
      </c>
      <c r="I10" s="157"/>
      <c r="J10" s="158">
        <f>SUM(K10:L10)</f>
        <v>516.63924816976009</v>
      </c>
      <c r="K10" s="158">
        <v>282.07085384376006</v>
      </c>
      <c r="L10" s="158">
        <v>234.568394326</v>
      </c>
      <c r="M10" s="157"/>
      <c r="N10" s="157">
        <f>SUM(O10:R10)</f>
        <v>42.331700162355752</v>
      </c>
      <c r="O10" s="110">
        <v>14.006981502836402</v>
      </c>
      <c r="P10" s="110">
        <v>11.131364598429178</v>
      </c>
      <c r="Q10" s="110">
        <v>13.027207110649348</v>
      </c>
      <c r="R10" s="110">
        <v>4.1661469504408251</v>
      </c>
      <c r="S10" s="110"/>
      <c r="T10" s="110">
        <f>SUM(U10:W10)</f>
        <v>20.936609527068185</v>
      </c>
      <c r="U10" s="110">
        <v>10.41371324237288</v>
      </c>
      <c r="V10" s="110">
        <v>7.4255080530701276</v>
      </c>
      <c r="W10" s="110">
        <v>3.0973882316251773</v>
      </c>
      <c r="X10" s="110"/>
      <c r="Y10" s="110">
        <f>SUM(Z10:AA10)</f>
        <v>25.055111618445864</v>
      </c>
      <c r="Z10" s="110">
        <v>19.008711618445862</v>
      </c>
      <c r="AA10" s="110">
        <v>6.0464000000000002</v>
      </c>
      <c r="AB10" s="110"/>
      <c r="AC10" s="110">
        <f>SUM(AD10:AE10,AH10)</f>
        <v>7.936848516848956</v>
      </c>
      <c r="AD10" s="110">
        <v>1.8926768784358732</v>
      </c>
      <c r="AE10" s="110">
        <f>SUM(AF10:AG10)</f>
        <v>3.6271588523669189</v>
      </c>
      <c r="AF10" s="110">
        <v>1.6924251230625604</v>
      </c>
      <c r="AG10" s="110">
        <f>V10/AK10</f>
        <v>1.9347337293043583</v>
      </c>
      <c r="AH10" s="110">
        <f>(U10+W10)/AJ10</f>
        <v>2.4170127860461639</v>
      </c>
      <c r="AJ10" s="159">
        <v>5.59</v>
      </c>
      <c r="AK10" s="159">
        <v>3.8380000000000001</v>
      </c>
    </row>
    <row r="11" spans="1:37" ht="14.1" customHeight="1">
      <c r="B11" s="106" t="s">
        <v>546</v>
      </c>
      <c r="D11" s="160">
        <v>1.32</v>
      </c>
      <c r="E11" s="161"/>
      <c r="F11" s="157">
        <f>SUM(G11:H11)</f>
        <v>96.228043919733096</v>
      </c>
      <c r="G11" s="157">
        <f>F40/5</f>
        <v>64.383123209222376</v>
      </c>
      <c r="H11" s="157">
        <f>AG23*F$66</f>
        <v>31.844920710510717</v>
      </c>
      <c r="I11" s="162"/>
      <c r="J11" s="158">
        <f>SUM(K11:L11)</f>
        <v>406.18600677584004</v>
      </c>
      <c r="K11" s="158">
        <f>F46/5</f>
        <v>194.88940472784006</v>
      </c>
      <c r="L11" s="158">
        <f>F52/5</f>
        <v>211.29660204800001</v>
      </c>
      <c r="M11" s="162"/>
      <c r="N11" s="157">
        <f>SUM(O11:R11)</f>
        <v>48.984762864964345</v>
      </c>
      <c r="O11" s="110">
        <f>SUM($H40*($G$29+$H$29),$J40*($H$29+$J$29),$K40*($J$29+$K$29),$L40*($K$29+$L$29),$N40*($L$29+$N$29),$O40*($N$29+$O$29),$P40*($O$29+$P$29),$Q40*($P$29+$Q$29),$R40*($Q$29+$R$29),$T40*($R$29+$T$29),$U40*($T$29+$U$29),$V40*($U$29+$V$29),$W40*($V$29+$W$29),$Y40*($W$29+$Y$29),$Z40*($Y$29+$Z$29),$AA40*($Z$29+$AA$29),$AC40*($AA$29+$AC$29),$AD40*($AC$29+$AD$29),$AE40*($AD$29+$AE$29))/2/5/1000</f>
        <v>24.364683489025445</v>
      </c>
      <c r="P11" s="110">
        <f>SUM($H46*($G$29+$H$29),$J46*($H$29+$J$29),$K46*($J$29+$K$29),$L46*($K$29+$L$29),$N46*($L$29+$N$29),$O46*($N$29+$O$29),$P46*($O$29+$P$29),$Q46*($P$29+$Q$29),$R46*($Q$29+$R$29),$T46*($R$29+$T$29),$U46*($T$29+$U$29),$V46*($U$29+$V$29),$W46*($V$29+$W$29),$Y46*($W$29+$Y$29),$Z46*($Y$29+$Z$29),$AA46*($Z$29+$AA$29),$AC46*($AA$29+$AC$29),$AD46*($AC$29+$AD$29),$AE46*($AD$29+$AE$29))*$F$64/2/5/1000</f>
        <v>8.1339971268373787</v>
      </c>
      <c r="Q11" s="110">
        <f>SUM($H52*($G$29+$H$29),$J52*($H$29+$J$29),$K52*($J$29+$K$29),$L52*($K$29+$L$29),$N52*($L$29+$N$29),$O52*($N$29+$O$29),$P52*($O$29+$P$29),$Q52*($P$29+$Q$29),$R52*($Q$29+$R$29),$T52*($R$29+$T$29),$U52*($T$29+$U$29),$V52*($U$29+$V$29),$W52*($V$29+$W$29),$Y52*($W$29+$Y$29),$Z52*($Y$29+$Z$29),$AA52*($Z$29+$AA$29),$AC52*($AA$29+$AC$29),$AD52*($AC$29+$AD$29),$AE52*($AD$29+$AE$29))*$F$65/2/5/1000</f>
        <v>12.282552715314102</v>
      </c>
      <c r="R11" s="110">
        <f>H11*F$67/1000</f>
        <v>4.2035295337874148</v>
      </c>
      <c r="S11" s="161"/>
      <c r="T11" s="110">
        <f>SUM(U11:W11)</f>
        <v>28.240547525558895</v>
      </c>
      <c r="U11" s="110">
        <f>O11*L$67</f>
        <v>18.114311569877401</v>
      </c>
      <c r="V11" s="110">
        <f t="shared" ref="V11:W13" si="0">Q11*N$67</f>
        <v>7.0010550477290376</v>
      </c>
      <c r="W11" s="110">
        <f t="shared" si="0"/>
        <v>3.1251809079524544</v>
      </c>
      <c r="X11" s="161"/>
      <c r="Y11" s="110">
        <f>SUM(Z11:AA11)</f>
        <v>37.57370847547385</v>
      </c>
      <c r="Z11" s="110">
        <f>G11*H$67</f>
        <v>31.473054495804963</v>
      </c>
      <c r="AA11" s="110">
        <f>H11*J$67</f>
        <v>6.1006539796688886</v>
      </c>
      <c r="AB11" s="161"/>
      <c r="AC11" s="110">
        <f>SUM(AD11:AE11,AH11)</f>
        <v>7.0781198618268064</v>
      </c>
      <c r="AD11" s="110">
        <f>SUMPRODUCT(G24:H24,IF($D$4="従来",G$62:H$62,IF($D$4="省力",G$63:H$63)))/5/1000</f>
        <v>1.4902477966415848</v>
      </c>
      <c r="AE11" s="110">
        <f>SUM(AF11:AG11)</f>
        <v>2.7558953116431457</v>
      </c>
      <c r="AF11" s="110">
        <f>SUMPRODUCT(L46:R46,IF($D$4="従来",L$62:R$62,IF($D$4="省力",L$63:R$63)))/5/1000</f>
        <v>1.1693364283670402</v>
      </c>
      <c r="AG11" s="110">
        <f>V11/AK11</f>
        <v>1.5865588832761055</v>
      </c>
      <c r="AH11" s="110">
        <f>(U11+W11)/AJ11</f>
        <v>2.8319767535420755</v>
      </c>
      <c r="AJ11" s="159">
        <v>7.4998823529411762</v>
      </c>
      <c r="AK11" s="159">
        <v>4.4127294117647056</v>
      </c>
    </row>
    <row r="12" spans="1:37" ht="14.1" customHeight="1">
      <c r="B12" s="106" t="s">
        <v>477</v>
      </c>
      <c r="D12" s="160">
        <v>1.62</v>
      </c>
      <c r="E12" s="161"/>
      <c r="F12" s="157">
        <f>SUM(G12:H12)</f>
        <v>122.64937151544439</v>
      </c>
      <c r="G12" s="157">
        <f>F41/5</f>
        <v>90.877049170475757</v>
      </c>
      <c r="H12" s="157">
        <f>AG24*F$66</f>
        <v>31.772322344968629</v>
      </c>
      <c r="I12" s="162"/>
      <c r="J12" s="158">
        <f>SUM(K12:L12)</f>
        <v>305.47421757139603</v>
      </c>
      <c r="K12" s="158">
        <f>F47/5</f>
        <v>136.02447560480005</v>
      </c>
      <c r="L12" s="158">
        <f>F53/5</f>
        <v>169.44974196659601</v>
      </c>
      <c r="M12" s="162"/>
      <c r="N12" s="157">
        <f>SUM(O12:R12)</f>
        <v>55.274185958559187</v>
      </c>
      <c r="O12" s="110">
        <f>SUM($H41*($G$29+$H$29),$J41*($H$29+$J$29),$K41*($J$29+$K$29),$L41*($K$29+$L$29),$N41*($L$29+$N$29),$O41*($N$29+$O$29),$P41*($O$29+$P$29),$Q41*($P$29+$Q$29),$R41*($Q$29+$R$29),$T41*($R$29+$T$29),$U41*($T$29+$U$29),$V41*($U$29+$V$29),$W41*($V$29+$W$29),$Y41*($W$29+$Y$29),$Z41*($Y$29+$Z$29),$AA41*($Z$29+$AA$29),$AC41*($AA$29+$AC$29),$AD41*($AC$29+$AD$29),$AE41*($AD$29+$AE$29))/2/5/1000</f>
        <v>35.401495221092468</v>
      </c>
      <c r="P12" s="110">
        <f>SUM($H47*($G$29+$H$29),$J47*($H$29+$J$29),$K47*($J$29+$K$29),$L47*($K$29+$L$29),$N47*($L$29+$N$29),$O47*($N$29+$O$29),$P47*($O$29+$P$29),$Q47*($P$29+$Q$29),$R47*($Q$29+$R$29),$T47*($R$29+$T$29),$U47*($T$29+$U$29),$V47*($U$29+$V$29),$W47*($V$29+$W$29),$Y47*($W$29+$Y$29),$Z47*($Y$29+$Z$29),$AA47*($Z$29+$AA$29),$AC47*($AA$29+$AC$29),$AD47*($AC$29+$AD$29),$AE47*($AD$29+$AE$29))*F$64/2/5/1000</f>
        <v>5.6787433076998912</v>
      </c>
      <c r="Q12" s="110">
        <f>SUM($H53*($G$29+$H$29),$J53*($H$29+$J$29),$K53*($J$29+$K$29),$L53*($K$29+$L$29),$N53*($L$29+$N$29),$O53*($N$29+$O$29),$P53*($O$29+$P$29),$Q53*($P$29+$Q$29),$R53*($Q$29+$R$29),$T53*($R$29+$T$29),$U53*($T$29+$U$29),$V53*($U$29+$V$29),$W53*($V$29+$W$29),$Y53*($W$29+$Y$29),$Z53*($Y$29+$Z$29),$AA53*($Z$29+$AA$29),$AC53*($AA$29+$AC$29),$AD53*($AC$29+$AD$29),$AE53*($AD$29+$AE$29))*$F$65/2/5/1000</f>
        <v>10.000000880230971</v>
      </c>
      <c r="R12" s="110">
        <f>H12*F$67/1000</f>
        <v>4.193946549535859</v>
      </c>
      <c r="S12" s="161"/>
      <c r="T12" s="110">
        <f>SUM(U12:W12)</f>
        <v>35.137861629834013</v>
      </c>
      <c r="U12" s="110">
        <f>O12*L$67</f>
        <v>26.319804842252225</v>
      </c>
      <c r="V12" s="110">
        <f t="shared" si="0"/>
        <v>5.7000005017316528</v>
      </c>
      <c r="W12" s="110">
        <f t="shared" si="0"/>
        <v>3.1180562858501357</v>
      </c>
      <c r="X12" s="161"/>
      <c r="Y12" s="110">
        <f>SUM(Z12:AA12)</f>
        <v>50.511094810974186</v>
      </c>
      <c r="Z12" s="110">
        <f>G12*H$67</f>
        <v>44.424348779504889</v>
      </c>
      <c r="AA12" s="110">
        <f>H12*J$67</f>
        <v>6.0867460314692998</v>
      </c>
      <c r="AB12" s="161"/>
      <c r="AC12" s="110">
        <f>SUM(AD12:AE12,AH12)</f>
        <v>6.9852335106452283</v>
      </c>
      <c r="AD12" s="110">
        <f>SUMPRODUCT(G25:H25,IF($D$4="従来",G$62:H$62,IF($D$4="省力",G$63:H$63)))/5/1000</f>
        <v>2.0309042777124136</v>
      </c>
      <c r="AE12" s="110">
        <f>SUM(AF12:AG12)</f>
        <v>1.8257743493510441</v>
      </c>
      <c r="AF12" s="110">
        <f>SUMPRODUCT(L47:R47,IF($D$4="従来",L$62:R$62,IF($D$4="省力",L$63:R$63)))/5/1000</f>
        <v>0.81614685362880002</v>
      </c>
      <c r="AG12" s="110">
        <f>V12/AK12</f>
        <v>1.009627495722244</v>
      </c>
      <c r="AH12" s="110">
        <f>(U12+W12)/AJ12</f>
        <v>3.1285548835817711</v>
      </c>
      <c r="AJ12" s="159">
        <v>9.409411764705883</v>
      </c>
      <c r="AK12" s="159">
        <v>5.6456470588235295</v>
      </c>
    </row>
    <row r="13" spans="1:37" ht="14.1" customHeight="1">
      <c r="B13" s="105" t="s">
        <v>478</v>
      </c>
      <c r="D13" s="163">
        <v>1.82</v>
      </c>
      <c r="E13" s="161"/>
      <c r="F13" s="164">
        <f>SUM(G13:H13)</f>
        <v>141.68721629174959</v>
      </c>
      <c r="G13" s="164">
        <f>F42/5</f>
        <v>109.98732680640997</v>
      </c>
      <c r="H13" s="164">
        <f>AG25*F$66</f>
        <v>31.699889485339625</v>
      </c>
      <c r="I13" s="162"/>
      <c r="J13" s="165">
        <f>SUM(K13:L13)</f>
        <v>223.28243709559359</v>
      </c>
      <c r="K13" s="165">
        <f>F48/5</f>
        <v>100.42549261280003</v>
      </c>
      <c r="L13" s="165">
        <f>F54/5</f>
        <v>122.85694448279355</v>
      </c>
      <c r="M13" s="162"/>
      <c r="N13" s="164">
        <f>SUM(O13:R13)</f>
        <v>59.642209760153868</v>
      </c>
      <c r="O13" s="50">
        <f>SUM($H42*($G$29+$H$29),$J42*($H$29+$J$29),$K42*($J$29+$K$29),$L42*($K$29+$L$29),$N42*($L$29+$N$29),$O42*($N$29+$O$29),$P42*($O$29+$P$29),$Q42*($P$29+$Q$29),$R42*($Q$29+$R$29),$T42*($R$29+$T$29),$U42*($T$29+$U$29),$V42*($U$29+$V$29),$W42*($V$29+$W$29),$Y42*($W$29+$Y$29),$Z42*($Y$29+$Z$29),$AA42*($Z$29+$AA$29),$AC42*($AA$29+$AC$29),$AD42*($AC$29+$AD$29),$AE42*($AD$29+$AE$29))/2/5/1000</f>
        <v>44.081609390458127</v>
      </c>
      <c r="P13" s="50">
        <f>SUM($H48*($G$29+$H$29),$J48*($H$29+$J$29),$K48*($J$29+$K$29),$L48*($K$29+$L$29),$N48*($L$29+$N$29),$O48*($N$29+$O$29),$P48*($O$29+$P$29),$Q48*($P$29+$Q$29),$R48*($Q$29+$R$29),$T48*($R$29+$T$29),$U48*($T$29+$U$29),$V48*($U$29+$V$29),$W48*($V$29+$W$29),$Y48*($W$29+$Y$29),$Z48*($Y$29+$Z$29),$AA48*($Z$29+$AA$29),$AC48*($AA$29+$AC$29),$AD48*($AC$29+$AD$29),$AE48*($AD$29+$AE$29))*F$64/2/5/1000</f>
        <v>4.0635688573109539</v>
      </c>
      <c r="Q13" s="50">
        <f>SUM($H54*($G$29+$H$29),$J54*($H$29+$J$29),$K54*($J$29+$K$29),$L54*($K$29+$L$29),$N54*($L$29+$N$29),$O54*($N$29+$O$29),$P54*($O$29+$P$29),$Q54*($P$29+$Q$29),$R54*($Q$29+$R$29),$T54*($R$29+$T$29),$U54*($T$29+$U$29),$V54*($U$29+$V$29),$W54*($V$29+$W$29),$Y54*($W$29+$Y$29),$Z54*($Y$29+$Z$29),$AA54*($Z$29+$AA$29),$AC54*($AA$29+$AC$29),$AD54*($AC$29+$AD$29),$AE54*($AD$29+$AE$29))*$F$65/2/5/1000</f>
        <v>7.3126461003199603</v>
      </c>
      <c r="R13" s="50">
        <f>H13*F$67/1000</f>
        <v>4.1843854120648301</v>
      </c>
      <c r="S13" s="161"/>
      <c r="T13" s="50">
        <f>SUM(U13:W13)</f>
        <v>40.052330001020749</v>
      </c>
      <c r="U13" s="50">
        <f>O13*L$67</f>
        <v>32.773173817754</v>
      </c>
      <c r="V13" s="50">
        <f t="shared" si="0"/>
        <v>4.1682082771823774</v>
      </c>
      <c r="W13" s="50">
        <f t="shared" si="0"/>
        <v>3.1109479060843714</v>
      </c>
      <c r="X13" s="161"/>
      <c r="Y13" s="50">
        <f>SUM(Z13:AA13)</f>
        <v>59.839089225625358</v>
      </c>
      <c r="Z13" s="50">
        <f>G13*H$67</f>
        <v>53.766219435751118</v>
      </c>
      <c r="AA13" s="50">
        <f>H13*J$67</f>
        <v>6.0728697898742432</v>
      </c>
      <c r="AB13" s="161"/>
      <c r="AC13" s="50">
        <f>SUM(AD13:AE13,AH13)</f>
        <v>6.8406674155388298</v>
      </c>
      <c r="AD13" s="50">
        <f>SUMPRODUCT(G26:H26,IF($D$4="従来",G$62:H$62,IF($D$4="省力",G$63:H$63)))/5/1000</f>
        <v>2.4479457865737069</v>
      </c>
      <c r="AE13" s="50">
        <f>SUM(AF13:AG13)</f>
        <v>1.2173009361055511</v>
      </c>
      <c r="AF13" s="50">
        <f>SUMPRODUCT(L48:R48,IF($D$4="従来",L$62:R$62,IF($D$4="省力",L$63:R$63)))/5/1000</f>
        <v>0.60255295567680001</v>
      </c>
      <c r="AG13" s="50">
        <f>V13/AK13</f>
        <v>0.61474798042875112</v>
      </c>
      <c r="AH13" s="50">
        <f>(U13+W13)/AJ13</f>
        <v>3.1754206928595714</v>
      </c>
      <c r="AJ13" s="159">
        <v>11.300588235294118</v>
      </c>
      <c r="AK13" s="159">
        <v>6.7803529411764698</v>
      </c>
    </row>
    <row r="14" spans="1:37" ht="14.1" customHeight="1">
      <c r="E14" s="16"/>
      <c r="F14" s="137"/>
      <c r="G14" s="137"/>
      <c r="H14" s="137"/>
      <c r="I14" s="166"/>
      <c r="J14" s="137"/>
      <c r="K14" s="137"/>
      <c r="L14" s="137"/>
      <c r="M14" s="166"/>
      <c r="N14" s="137"/>
      <c r="S14" s="16"/>
      <c r="X14" s="16"/>
      <c r="AB14" s="16"/>
      <c r="AJ14" s="34"/>
      <c r="AK14" s="34"/>
    </row>
    <row r="15" spans="1:37" ht="14.1" customHeight="1">
      <c r="E15" s="16"/>
      <c r="F15" s="137" t="s">
        <v>479</v>
      </c>
      <c r="G15" s="137"/>
      <c r="H15" s="137"/>
      <c r="I15" s="166"/>
      <c r="J15" s="137"/>
      <c r="K15" s="137"/>
      <c r="L15" s="137"/>
      <c r="M15" s="166"/>
      <c r="N15" s="137"/>
      <c r="S15" s="16"/>
      <c r="X15" s="16"/>
      <c r="AB15" s="16"/>
      <c r="AJ15" s="34"/>
      <c r="AK15" s="34"/>
    </row>
    <row r="16" spans="1:37" ht="14.1" customHeight="1">
      <c r="B16" s="106" t="s">
        <v>538</v>
      </c>
      <c r="E16" s="16"/>
      <c r="F16" s="41">
        <f t="shared" ref="F16:H19" si="1">F10/F$10*100</f>
        <v>100</v>
      </c>
      <c r="G16" s="41">
        <f t="shared" si="1"/>
        <v>100</v>
      </c>
      <c r="H16" s="41">
        <f t="shared" si="1"/>
        <v>100</v>
      </c>
      <c r="I16" s="166"/>
      <c r="J16" s="41">
        <f t="shared" ref="J16:L19" si="2">J10/J$10*100</f>
        <v>100</v>
      </c>
      <c r="K16" s="41">
        <f t="shared" si="2"/>
        <v>100</v>
      </c>
      <c r="L16" s="41">
        <f t="shared" si="2"/>
        <v>100</v>
      </c>
      <c r="M16" s="166"/>
      <c r="N16" s="41">
        <f t="shared" ref="N16:R19" si="3">N10/N$10*100</f>
        <v>100</v>
      </c>
      <c r="O16" s="9">
        <f t="shared" si="3"/>
        <v>100</v>
      </c>
      <c r="P16" s="9">
        <f t="shared" si="3"/>
        <v>100</v>
      </c>
      <c r="Q16" s="9">
        <f t="shared" si="3"/>
        <v>100</v>
      </c>
      <c r="R16" s="9">
        <f t="shared" si="3"/>
        <v>100</v>
      </c>
      <c r="S16" s="16"/>
      <c r="T16" s="9">
        <f t="shared" ref="T16:W19" si="4">T10/T$10*100</f>
        <v>100</v>
      </c>
      <c r="U16" s="9">
        <f t="shared" si="4"/>
        <v>100</v>
      </c>
      <c r="V16" s="9">
        <f t="shared" si="4"/>
        <v>100</v>
      </c>
      <c r="W16" s="9">
        <f t="shared" si="4"/>
        <v>100</v>
      </c>
      <c r="X16" s="16"/>
      <c r="Y16" s="9">
        <f t="shared" ref="Y16:AA19" si="5">Y10/Y$10*100</f>
        <v>100</v>
      </c>
      <c r="Z16" s="9">
        <f t="shared" si="5"/>
        <v>100</v>
      </c>
      <c r="AA16" s="9">
        <f t="shared" si="5"/>
        <v>100</v>
      </c>
      <c r="AB16" s="16"/>
      <c r="AC16" s="9">
        <f t="shared" ref="AC16:AH19" si="6">AC10/AC$10*100</f>
        <v>100</v>
      </c>
      <c r="AD16" s="9">
        <f t="shared" si="6"/>
        <v>100</v>
      </c>
      <c r="AE16" s="9">
        <f t="shared" si="6"/>
        <v>100</v>
      </c>
      <c r="AF16" s="9">
        <f t="shared" si="6"/>
        <v>100</v>
      </c>
      <c r="AG16" s="9">
        <f t="shared" si="6"/>
        <v>100</v>
      </c>
      <c r="AH16" s="9">
        <f t="shared" si="6"/>
        <v>100</v>
      </c>
      <c r="AJ16" s="34"/>
      <c r="AK16" s="34"/>
    </row>
    <row r="17" spans="2:37" ht="14.1" customHeight="1">
      <c r="B17" s="106" t="s">
        <v>505</v>
      </c>
      <c r="E17" s="16"/>
      <c r="F17" s="41">
        <f t="shared" si="1"/>
        <v>136.59626625320027</v>
      </c>
      <c r="G17" s="41">
        <f t="shared" si="1"/>
        <v>165.57173956631456</v>
      </c>
      <c r="H17" s="41">
        <f t="shared" si="1"/>
        <v>100.89729392148863</v>
      </c>
      <c r="I17" s="166"/>
      <c r="J17" s="41">
        <f t="shared" si="2"/>
        <v>78.620818726953019</v>
      </c>
      <c r="K17" s="41">
        <f t="shared" si="2"/>
        <v>69.092358204364473</v>
      </c>
      <c r="L17" s="41">
        <f t="shared" si="2"/>
        <v>90.078888357969845</v>
      </c>
      <c r="M17" s="166"/>
      <c r="N17" s="41">
        <f t="shared" si="3"/>
        <v>115.71650247235982</v>
      </c>
      <c r="O17" s="9">
        <f t="shared" si="3"/>
        <v>173.94670996096923</v>
      </c>
      <c r="P17" s="9">
        <f t="shared" si="3"/>
        <v>73.072776072622958</v>
      </c>
      <c r="Q17" s="9">
        <f t="shared" si="3"/>
        <v>94.283852332964642</v>
      </c>
      <c r="R17" s="9">
        <f t="shared" si="3"/>
        <v>100.89729392148863</v>
      </c>
      <c r="S17" s="16"/>
      <c r="T17" s="9">
        <f t="shared" si="4"/>
        <v>134.88596369458824</v>
      </c>
      <c r="U17" s="9">
        <f t="shared" si="4"/>
        <v>173.94670996096926</v>
      </c>
      <c r="V17" s="9">
        <f t="shared" si="4"/>
        <v>94.283852332964656</v>
      </c>
      <c r="W17" s="9">
        <f t="shared" si="4"/>
        <v>100.89729392148863</v>
      </c>
      <c r="X17" s="16"/>
      <c r="Y17" s="9">
        <f t="shared" si="5"/>
        <v>149.96424301623009</v>
      </c>
      <c r="Z17" s="9">
        <f t="shared" si="5"/>
        <v>165.57173956631456</v>
      </c>
      <c r="AA17" s="9">
        <f t="shared" si="5"/>
        <v>100.89729392148863</v>
      </c>
      <c r="AB17" s="16"/>
      <c r="AC17" s="9">
        <f t="shared" si="6"/>
        <v>89.180483245973846</v>
      </c>
      <c r="AD17" s="9">
        <f t="shared" si="6"/>
        <v>78.737570771886865</v>
      </c>
      <c r="AE17" s="9">
        <f t="shared" si="6"/>
        <v>75.979449034738948</v>
      </c>
      <c r="AF17" s="9">
        <f t="shared" si="6"/>
        <v>69.092358204364459</v>
      </c>
      <c r="AG17" s="9">
        <f t="shared" si="6"/>
        <v>82.003991518076219</v>
      </c>
      <c r="AH17" s="9">
        <f t="shared" si="6"/>
        <v>117.16846389442253</v>
      </c>
      <c r="AJ17" s="34"/>
      <c r="AK17" s="34"/>
    </row>
    <row r="18" spans="2:37" ht="14.1" customHeight="1">
      <c r="B18" s="106" t="s">
        <v>477</v>
      </c>
      <c r="E18" s="16"/>
      <c r="F18" s="41">
        <f t="shared" si="1"/>
        <v>174.10149396038753</v>
      </c>
      <c r="G18" s="41">
        <f t="shared" si="1"/>
        <v>233.70520670320417</v>
      </c>
      <c r="H18" s="41">
        <f t="shared" si="1"/>
        <v>100.66727360858197</v>
      </c>
      <c r="I18" s="166"/>
      <c r="J18" s="41">
        <f t="shared" si="2"/>
        <v>59.127179875235051</v>
      </c>
      <c r="K18" s="41">
        <f t="shared" si="2"/>
        <v>48.223513259595556</v>
      </c>
      <c r="L18" s="41">
        <f t="shared" si="2"/>
        <v>72.238948667183621</v>
      </c>
      <c r="M18" s="166"/>
      <c r="N18" s="41">
        <f t="shared" si="3"/>
        <v>130.57398060216062</v>
      </c>
      <c r="O18" s="9">
        <f t="shared" si="3"/>
        <v>252.74178604379318</v>
      </c>
      <c r="P18" s="9">
        <f t="shared" si="3"/>
        <v>51.015697648617639</v>
      </c>
      <c r="Q18" s="9">
        <f t="shared" si="3"/>
        <v>76.762431082071856</v>
      </c>
      <c r="R18" s="9">
        <f t="shared" si="3"/>
        <v>100.66727360858197</v>
      </c>
      <c r="S18" s="16"/>
      <c r="T18" s="9">
        <f t="shared" si="4"/>
        <v>167.82976051784098</v>
      </c>
      <c r="U18" s="9">
        <f t="shared" si="4"/>
        <v>252.74178604379318</v>
      </c>
      <c r="V18" s="9">
        <f t="shared" si="4"/>
        <v>76.762431082071856</v>
      </c>
      <c r="W18" s="9">
        <f t="shared" si="4"/>
        <v>100.66727360858197</v>
      </c>
      <c r="X18" s="16"/>
      <c r="Y18" s="9">
        <f t="shared" si="5"/>
        <v>201.59995924259758</v>
      </c>
      <c r="Z18" s="9">
        <f t="shared" si="5"/>
        <v>233.70520670320417</v>
      </c>
      <c r="AA18" s="9">
        <f t="shared" si="5"/>
        <v>100.66727360858197</v>
      </c>
      <c r="AB18" s="16"/>
      <c r="AC18" s="9">
        <f t="shared" si="6"/>
        <v>88.010165443077753</v>
      </c>
      <c r="AD18" s="9">
        <f t="shared" si="6"/>
        <v>107.30327510476975</v>
      </c>
      <c r="AE18" s="9">
        <f t="shared" si="6"/>
        <v>50.336211444382343</v>
      </c>
      <c r="AF18" s="9">
        <f t="shared" si="6"/>
        <v>48.223513259595542</v>
      </c>
      <c r="AG18" s="9">
        <f t="shared" si="6"/>
        <v>52.184312519597199</v>
      </c>
      <c r="AH18" s="9">
        <f t="shared" si="6"/>
        <v>129.4389049840143</v>
      </c>
      <c r="AJ18" s="34"/>
      <c r="AK18" s="34"/>
    </row>
    <row r="19" spans="2:37" ht="14.1" customHeight="1">
      <c r="B19" s="106" t="s">
        <v>478</v>
      </c>
      <c r="C19" s="2"/>
      <c r="D19" s="2"/>
      <c r="E19" s="2"/>
      <c r="F19" s="41">
        <f t="shared" si="1"/>
        <v>201.12582499761035</v>
      </c>
      <c r="G19" s="41">
        <f t="shared" si="1"/>
        <v>282.85041361549679</v>
      </c>
      <c r="H19" s="41">
        <f t="shared" si="1"/>
        <v>100.43777768381588</v>
      </c>
      <c r="I19" s="136"/>
      <c r="J19" s="41">
        <f t="shared" si="2"/>
        <v>43.218249075460534</v>
      </c>
      <c r="K19" s="41">
        <f t="shared" si="2"/>
        <v>35.602931406881908</v>
      </c>
      <c r="L19" s="41">
        <f t="shared" si="2"/>
        <v>52.37574517905793</v>
      </c>
      <c r="M19" s="136"/>
      <c r="N19" s="41">
        <f t="shared" si="3"/>
        <v>140.89254514089137</v>
      </c>
      <c r="O19" s="9">
        <f t="shared" si="3"/>
        <v>314.71169845931217</v>
      </c>
      <c r="P19" s="9">
        <f t="shared" si="3"/>
        <v>36.505576844409461</v>
      </c>
      <c r="Q19" s="9">
        <f t="shared" si="3"/>
        <v>56.133644289282024</v>
      </c>
      <c r="R19" s="9">
        <f t="shared" si="3"/>
        <v>100.43777768381585</v>
      </c>
      <c r="S19" s="2"/>
      <c r="T19" s="9">
        <f t="shared" si="4"/>
        <v>191.30284657235711</v>
      </c>
      <c r="U19" s="9">
        <f t="shared" si="4"/>
        <v>314.71169845931217</v>
      </c>
      <c r="V19" s="9">
        <f t="shared" si="4"/>
        <v>56.133644289282039</v>
      </c>
      <c r="W19" s="9">
        <f t="shared" si="4"/>
        <v>100.43777768381588</v>
      </c>
      <c r="X19" s="2"/>
      <c r="Y19" s="9">
        <f t="shared" si="5"/>
        <v>238.82986488701624</v>
      </c>
      <c r="Z19" s="9">
        <f t="shared" si="5"/>
        <v>282.85041361549685</v>
      </c>
      <c r="AA19" s="9">
        <f t="shared" si="5"/>
        <v>100.43777768381588</v>
      </c>
      <c r="AB19" s="2"/>
      <c r="AC19" s="9">
        <f t="shared" si="6"/>
        <v>86.188710809043812</v>
      </c>
      <c r="AD19" s="9">
        <f t="shared" si="6"/>
        <v>129.33775513740696</v>
      </c>
      <c r="AE19" s="9">
        <f t="shared" si="6"/>
        <v>33.560728538569407</v>
      </c>
      <c r="AF19" s="9">
        <f t="shared" si="6"/>
        <v>35.602931406881901</v>
      </c>
      <c r="AG19" s="9">
        <f t="shared" si="6"/>
        <v>31.774293853334868</v>
      </c>
      <c r="AH19" s="10">
        <f t="shared" si="6"/>
        <v>131.37790214399479</v>
      </c>
      <c r="AJ19" s="34"/>
      <c r="AK19" s="34"/>
    </row>
    <row r="20" spans="2:37" ht="14.1" customHeight="1">
      <c r="B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  <c r="AJ20" s="34"/>
      <c r="AK20" s="34"/>
    </row>
    <row r="21" spans="2:37" ht="14.1" customHeight="1">
      <c r="B21" s="5"/>
      <c r="C21" s="2"/>
      <c r="D21" s="2"/>
      <c r="E21" s="2"/>
      <c r="F21" s="29" t="s">
        <v>506</v>
      </c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G21" s="8" t="s">
        <v>507</v>
      </c>
      <c r="AJ21" s="34"/>
      <c r="AK21" s="34"/>
    </row>
    <row r="22" spans="2:37" ht="14.1" customHeight="1">
      <c r="B22" s="5" t="s">
        <v>547</v>
      </c>
      <c r="C22" s="86"/>
      <c r="D22" s="86"/>
      <c r="E22" s="86"/>
      <c r="F22" s="5" t="s">
        <v>548</v>
      </c>
      <c r="G22" s="5" t="s">
        <v>373</v>
      </c>
      <c r="H22" s="5">
        <v>2</v>
      </c>
      <c r="I22" s="5"/>
      <c r="J22" s="5">
        <v>3</v>
      </c>
      <c r="K22" s="5">
        <v>4</v>
      </c>
      <c r="L22" s="5">
        <v>5</v>
      </c>
      <c r="M22" s="5"/>
      <c r="N22" s="5">
        <v>6</v>
      </c>
      <c r="O22" s="5">
        <v>7</v>
      </c>
      <c r="P22" s="5">
        <v>8</v>
      </c>
      <c r="Q22" s="5">
        <v>9</v>
      </c>
      <c r="R22" s="5">
        <v>10</v>
      </c>
      <c r="S22" s="5"/>
      <c r="T22" s="5">
        <v>11</v>
      </c>
      <c r="U22" s="5">
        <v>12</v>
      </c>
      <c r="V22" s="5">
        <v>13</v>
      </c>
      <c r="W22" s="5">
        <v>14</v>
      </c>
      <c r="X22" s="5"/>
      <c r="Y22" s="5">
        <v>15</v>
      </c>
      <c r="Z22" s="5">
        <v>16</v>
      </c>
      <c r="AA22" s="5">
        <v>17</v>
      </c>
      <c r="AB22" s="5"/>
      <c r="AC22" s="5">
        <v>18</v>
      </c>
      <c r="AD22" s="5">
        <v>19</v>
      </c>
      <c r="AE22" s="122" t="s">
        <v>510</v>
      </c>
      <c r="AG22" s="5" t="s">
        <v>511</v>
      </c>
      <c r="AJ22" s="34"/>
      <c r="AK22" s="34"/>
    </row>
    <row r="23" spans="2:37" ht="14.1" customHeight="1">
      <c r="B23" s="8">
        <v>2015</v>
      </c>
      <c r="F23" s="9">
        <f>SUM(G23:AE23)</f>
        <v>10342.3419624</v>
      </c>
      <c r="G23" s="9">
        <v>125.12</v>
      </c>
      <c r="H23" s="9">
        <v>152.846</v>
      </c>
      <c r="I23" s="9"/>
      <c r="J23" s="9">
        <v>155.81800000000001</v>
      </c>
      <c r="K23" s="9">
        <v>187.87464800000004</v>
      </c>
      <c r="L23" s="9">
        <v>275.09533120000003</v>
      </c>
      <c r="M23" s="9"/>
      <c r="N23" s="9">
        <v>441.60016720000004</v>
      </c>
      <c r="O23" s="9">
        <v>688.91927360000011</v>
      </c>
      <c r="P23" s="9">
        <v>952.68393360000005</v>
      </c>
      <c r="Q23" s="9">
        <v>1283.0745584000001</v>
      </c>
      <c r="R23" s="9">
        <v>1569.2706584000002</v>
      </c>
      <c r="S23" s="9"/>
      <c r="T23" s="9">
        <v>1543.0973488</v>
      </c>
      <c r="U23" s="9">
        <v>1229.1642455999997</v>
      </c>
      <c r="V23" s="9">
        <v>679.21071119999999</v>
      </c>
      <c r="W23" s="9">
        <v>281.75239600000003</v>
      </c>
      <c r="X23" s="9"/>
      <c r="Y23" s="9">
        <v>180.00878799999998</v>
      </c>
      <c r="Z23" s="9">
        <v>152.03903999999997</v>
      </c>
      <c r="AA23" s="9">
        <v>123.28037839999999</v>
      </c>
      <c r="AB23" s="9"/>
      <c r="AC23" s="9">
        <v>97.053370399999991</v>
      </c>
      <c r="AD23" s="9">
        <v>120.86067680000001</v>
      </c>
      <c r="AE23" s="9">
        <v>103.57243680000002</v>
      </c>
      <c r="AG23" s="9">
        <v>13380.111302381201</v>
      </c>
      <c r="AJ23" s="34"/>
      <c r="AK23" s="34"/>
    </row>
    <row r="24" spans="2:37" ht="14.1" customHeight="1">
      <c r="B24" s="8">
        <v>2020</v>
      </c>
      <c r="F24" s="9">
        <f>SUM(G24:AE24)</f>
        <v>10208.29488873126</v>
      </c>
      <c r="G24" s="9">
        <f>Y11*5</f>
        <v>187.86854237736924</v>
      </c>
      <c r="H24" s="9">
        <f>G23-H40</f>
        <v>125.12</v>
      </c>
      <c r="I24" s="9"/>
      <c r="J24" s="9">
        <f>H23-J40</f>
        <v>152.846</v>
      </c>
      <c r="K24" s="9">
        <f t="shared" ref="K24:L26" si="7">J23-K40</f>
        <v>155.81800000000001</v>
      </c>
      <c r="L24" s="9">
        <f t="shared" si="7"/>
        <v>187.87464800000004</v>
      </c>
      <c r="M24" s="9"/>
      <c r="N24" s="9">
        <f>L23-N40</f>
        <v>275.09533120000003</v>
      </c>
      <c r="O24" s="9">
        <f t="shared" ref="O24:R26" si="8">N23-O40</f>
        <v>441.60016720000004</v>
      </c>
      <c r="P24" s="9">
        <f t="shared" si="8"/>
        <v>688.91927360000011</v>
      </c>
      <c r="Q24" s="9">
        <f t="shared" si="8"/>
        <v>952.68393360000005</v>
      </c>
      <c r="R24" s="9">
        <f t="shared" si="8"/>
        <v>1240.7330979728001</v>
      </c>
      <c r="S24" s="9"/>
      <c r="T24" s="9">
        <f>R23-T40</f>
        <v>1517.4847266728002</v>
      </c>
      <c r="U24" s="9">
        <f t="shared" ref="U24:W26" si="9">T23-U40</f>
        <v>1475.8800282862719</v>
      </c>
      <c r="V24" s="9">
        <f t="shared" si="9"/>
        <v>1162.6418766281276</v>
      </c>
      <c r="W24" s="9">
        <f t="shared" si="9"/>
        <v>642.451827509856</v>
      </c>
      <c r="X24" s="9"/>
      <c r="Y24" s="9">
        <f>W23-Y40</f>
        <v>266.50395632848006</v>
      </c>
      <c r="Z24" s="9">
        <f t="shared" ref="Z24:AA26" si="10">Y23-Z40</f>
        <v>170.26671239343997</v>
      </c>
      <c r="AA24" s="9">
        <f t="shared" si="10"/>
        <v>143.81068715519999</v>
      </c>
      <c r="AB24" s="9"/>
      <c r="AC24" s="9">
        <f>AA23-AC40</f>
        <v>116.60844432099199</v>
      </c>
      <c r="AD24" s="9">
        <f>AC23-AD40</f>
        <v>91.800841993951991</v>
      </c>
      <c r="AE24" s="9">
        <f>AD23+AE23-AE40</f>
        <v>212.28679349196801</v>
      </c>
      <c r="AG24" s="9">
        <f>AG23-AA11*5</f>
        <v>13349.608032482856</v>
      </c>
      <c r="AJ24" s="34"/>
      <c r="AK24" s="34"/>
    </row>
    <row r="25" spans="2:37" ht="14.1" customHeight="1">
      <c r="B25" s="8">
        <v>2025</v>
      </c>
      <c r="F25" s="9">
        <f>SUM(G25:AE25)</f>
        <v>10006.465116933747</v>
      </c>
      <c r="G25" s="9">
        <f>Y12*5</f>
        <v>252.55547405487093</v>
      </c>
      <c r="H25" s="9">
        <f>G24-H41</f>
        <v>187.86854237736924</v>
      </c>
      <c r="I25" s="9"/>
      <c r="J25" s="9">
        <f>H24-J41</f>
        <v>125.12</v>
      </c>
      <c r="K25" s="9">
        <f t="shared" si="7"/>
        <v>152.846</v>
      </c>
      <c r="L25" s="9">
        <f t="shared" si="7"/>
        <v>155.81800000000001</v>
      </c>
      <c r="M25" s="9"/>
      <c r="N25" s="9">
        <f>L24-N41</f>
        <v>187.87464800000004</v>
      </c>
      <c r="O25" s="9">
        <f t="shared" si="8"/>
        <v>275.09533120000003</v>
      </c>
      <c r="P25" s="9">
        <f t="shared" si="8"/>
        <v>441.60016720000004</v>
      </c>
      <c r="Q25" s="9">
        <f t="shared" si="8"/>
        <v>688.91927360000011</v>
      </c>
      <c r="R25" s="9">
        <f t="shared" si="8"/>
        <v>914.10023428919999</v>
      </c>
      <c r="S25" s="9"/>
      <c r="T25" s="9">
        <f>R24-T41</f>
        <v>1190.4834075049016</v>
      </c>
      <c r="U25" s="9">
        <f t="shared" si="9"/>
        <v>1436.3599931848723</v>
      </c>
      <c r="V25" s="9">
        <f t="shared" si="9"/>
        <v>1377.8520768074977</v>
      </c>
      <c r="W25" s="9">
        <f t="shared" si="9"/>
        <v>1085.4192031824873</v>
      </c>
      <c r="X25" s="9"/>
      <c r="Y25" s="9">
        <f>W24-Y41</f>
        <v>599.78017712665132</v>
      </c>
      <c r="Z25" s="9">
        <f t="shared" si="10"/>
        <v>248.80276354914241</v>
      </c>
      <c r="AA25" s="9">
        <f t="shared" si="10"/>
        <v>158.95759735626768</v>
      </c>
      <c r="AB25" s="9"/>
      <c r="AC25" s="9">
        <f>AA24-AC41</f>
        <v>134.25878131435161</v>
      </c>
      <c r="AD25" s="9">
        <f>AC24-AD41</f>
        <v>108.8633114491917</v>
      </c>
      <c r="AE25" s="9">
        <f>AD24+AE24-AE41</f>
        <v>283.89013473694524</v>
      </c>
      <c r="AG25" s="9">
        <f>AG24-AA12*5</f>
        <v>13319.174302325509</v>
      </c>
      <c r="AJ25" s="34"/>
      <c r="AK25" s="34"/>
    </row>
    <row r="26" spans="2:37" ht="13.5" customHeight="1">
      <c r="B26" s="8">
        <v>2030</v>
      </c>
      <c r="F26" s="9">
        <f>SUM(G26:AE26)</f>
        <v>9755.7239290298257</v>
      </c>
      <c r="G26" s="9">
        <f>Y13*5</f>
        <v>299.19544612812678</v>
      </c>
      <c r="H26" s="9">
        <f>G25-H42</f>
        <v>252.55547405487093</v>
      </c>
      <c r="I26" s="9"/>
      <c r="J26" s="9">
        <f>H25-J42</f>
        <v>187.86854237736924</v>
      </c>
      <c r="K26" s="9">
        <f t="shared" si="7"/>
        <v>125.12</v>
      </c>
      <c r="L26" s="9">
        <f t="shared" si="7"/>
        <v>152.846</v>
      </c>
      <c r="M26" s="9"/>
      <c r="N26" s="9">
        <f>L25-N42</f>
        <v>155.81800000000001</v>
      </c>
      <c r="O26" s="9">
        <f t="shared" si="8"/>
        <v>187.87464800000004</v>
      </c>
      <c r="P26" s="9">
        <f t="shared" si="8"/>
        <v>275.09533120000003</v>
      </c>
      <c r="Q26" s="9">
        <f t="shared" si="8"/>
        <v>441.60016720000004</v>
      </c>
      <c r="R26" s="9">
        <f t="shared" si="8"/>
        <v>657.57344665120013</v>
      </c>
      <c r="S26" s="9"/>
      <c r="T26" s="9">
        <f>R25-T42</f>
        <v>872.50867362904137</v>
      </c>
      <c r="U26" s="9">
        <f t="shared" si="9"/>
        <v>1118.9829740501573</v>
      </c>
      <c r="V26" s="9">
        <f t="shared" si="9"/>
        <v>1329.1788104934171</v>
      </c>
      <c r="W26" s="9">
        <f t="shared" si="9"/>
        <v>1275.0367548361223</v>
      </c>
      <c r="X26" s="9"/>
      <c r="Y26" s="9">
        <f>W25-Y42</f>
        <v>1004.42522224101</v>
      </c>
      <c r="Z26" s="9">
        <f t="shared" si="10"/>
        <v>555.02458030946059</v>
      </c>
      <c r="AA26" s="9">
        <f t="shared" si="10"/>
        <v>230.23710133310539</v>
      </c>
      <c r="AB26" s="9"/>
      <c r="AC26" s="9">
        <f>AA25-AC42</f>
        <v>147.096181441543</v>
      </c>
      <c r="AD26" s="9">
        <f>AC25-AD42</f>
        <v>124.2403910526747</v>
      </c>
      <c r="AE26" s="9">
        <f>AD25+AE25-AE42</f>
        <v>363.4461840317274</v>
      </c>
      <c r="AF26" s="16"/>
      <c r="AG26" s="9">
        <f>AG25-AA13*5</f>
        <v>13288.809953376138</v>
      </c>
      <c r="AJ26" s="34"/>
      <c r="AK26" s="34"/>
    </row>
    <row r="27" spans="2:37" ht="14.1" customHeight="1"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6"/>
      <c r="AG27" s="131"/>
      <c r="AJ27" s="34"/>
      <c r="AK27" s="34"/>
    </row>
    <row r="28" spans="2:37" ht="14.1" customHeight="1">
      <c r="B28" s="2" t="s">
        <v>676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J28" s="34"/>
      <c r="AK28" s="34"/>
    </row>
    <row r="29" spans="2:37" ht="14.1" customHeight="1">
      <c r="B29" s="2"/>
      <c r="C29" s="2"/>
      <c r="D29" s="2"/>
      <c r="E29" s="2"/>
      <c r="F29" s="10"/>
      <c r="G29" s="10">
        <v>2.5418159173657018</v>
      </c>
      <c r="H29" s="10">
        <v>19.218561545119258</v>
      </c>
      <c r="I29" s="10"/>
      <c r="J29" s="10">
        <v>59.444086449388855</v>
      </c>
      <c r="K29" s="10">
        <v>101.70554101675621</v>
      </c>
      <c r="L29" s="10">
        <v>142.42039829131841</v>
      </c>
      <c r="M29" s="10"/>
      <c r="N29" s="10">
        <v>184.11789616923113</v>
      </c>
      <c r="O29" s="10">
        <v>225.67870510384969</v>
      </c>
      <c r="P29" s="10">
        <v>265.8357076285314</v>
      </c>
      <c r="Q29" s="10">
        <v>300.60734949120643</v>
      </c>
      <c r="R29" s="10">
        <v>327.38597497518919</v>
      </c>
      <c r="S29" s="10"/>
      <c r="T29" s="10">
        <v>352.81287703595541</v>
      </c>
      <c r="U29" s="10">
        <v>377.04846730620136</v>
      </c>
      <c r="V29" s="10">
        <v>401.04600296498791</v>
      </c>
      <c r="W29" s="10">
        <v>427.85009027580855</v>
      </c>
      <c r="X29" s="10"/>
      <c r="Y29" s="10">
        <v>443.15125803055139</v>
      </c>
      <c r="Z29" s="10">
        <v>443.15125803055139</v>
      </c>
      <c r="AA29" s="10">
        <v>443.15125803055139</v>
      </c>
      <c r="AB29" s="10"/>
      <c r="AC29" s="10">
        <v>443.15125803055139</v>
      </c>
      <c r="AD29" s="10">
        <v>443.15125803055139</v>
      </c>
      <c r="AE29" s="10">
        <v>443.15125803055139</v>
      </c>
      <c r="AJ29" s="34"/>
      <c r="AK29" s="34"/>
    </row>
    <row r="30" spans="2:37" ht="14.1" customHeight="1">
      <c r="B30" s="16"/>
      <c r="C30" s="16"/>
      <c r="D30" s="16"/>
      <c r="E30" s="16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J30" s="34"/>
      <c r="AK30" s="34"/>
    </row>
    <row r="31" spans="2:37" ht="14.1" customHeight="1">
      <c r="B31" t="s">
        <v>540</v>
      </c>
      <c r="AJ31" s="34"/>
      <c r="AK31" s="34"/>
    </row>
    <row r="32" spans="2:37" ht="14.1" customHeight="1">
      <c r="AJ32" s="34"/>
      <c r="AK32" s="34"/>
    </row>
    <row r="33" spans="1:37" ht="14.1" customHeight="1">
      <c r="AJ33" s="34"/>
      <c r="AK33" s="34"/>
    </row>
    <row r="34" spans="1:37">
      <c r="AJ34" s="34"/>
      <c r="AK34" s="34"/>
    </row>
    <row r="35" spans="1:37">
      <c r="AJ35" s="34"/>
      <c r="AK35" s="34"/>
    </row>
    <row r="36" spans="1:37" hidden="1">
      <c r="A36" s="153" t="s">
        <v>516</v>
      </c>
      <c r="B36" s="34" t="s">
        <v>517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</row>
    <row r="37" spans="1:37" hidden="1">
      <c r="A37" s="34"/>
      <c r="B37" s="156"/>
      <c r="C37" s="156"/>
      <c r="D37" s="156"/>
      <c r="E37" s="156"/>
      <c r="F37" s="156" t="s">
        <v>518</v>
      </c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34"/>
      <c r="AG37" s="34"/>
      <c r="AH37" s="34"/>
      <c r="AI37" s="34"/>
      <c r="AJ37" s="34"/>
      <c r="AK37" s="34"/>
    </row>
    <row r="38" spans="1:37" ht="14.1" hidden="1" customHeight="1">
      <c r="A38" s="34"/>
      <c r="B38" s="167" t="s">
        <v>508</v>
      </c>
      <c r="C38" s="168"/>
      <c r="D38" s="168"/>
      <c r="E38" s="156"/>
      <c r="F38" s="169" t="s">
        <v>372</v>
      </c>
      <c r="G38" s="169" t="s">
        <v>373</v>
      </c>
      <c r="H38" s="169">
        <v>2</v>
      </c>
      <c r="I38" s="169"/>
      <c r="J38" s="169">
        <v>3</v>
      </c>
      <c r="K38" s="169">
        <v>4</v>
      </c>
      <c r="L38" s="169">
        <v>5</v>
      </c>
      <c r="M38" s="169"/>
      <c r="N38" s="169">
        <v>6</v>
      </c>
      <c r="O38" s="169">
        <v>7</v>
      </c>
      <c r="P38" s="169">
        <v>8</v>
      </c>
      <c r="Q38" s="169">
        <v>9</v>
      </c>
      <c r="R38" s="169">
        <v>10</v>
      </c>
      <c r="S38" s="169"/>
      <c r="T38" s="169">
        <v>11</v>
      </c>
      <c r="U38" s="169">
        <v>12</v>
      </c>
      <c r="V38" s="169">
        <v>13</v>
      </c>
      <c r="W38" s="169">
        <v>14</v>
      </c>
      <c r="X38" s="169"/>
      <c r="Y38" s="169">
        <v>15</v>
      </c>
      <c r="Z38" s="169">
        <v>16</v>
      </c>
      <c r="AA38" s="169">
        <v>17</v>
      </c>
      <c r="AB38" s="169"/>
      <c r="AC38" s="169">
        <v>18</v>
      </c>
      <c r="AD38" s="169">
        <v>19</v>
      </c>
      <c r="AE38" s="169" t="s">
        <v>510</v>
      </c>
      <c r="AF38" s="34"/>
      <c r="AG38" s="34"/>
      <c r="AH38" s="34"/>
      <c r="AI38" s="34"/>
      <c r="AJ38" s="34"/>
      <c r="AK38" s="34"/>
    </row>
    <row r="39" spans="1:37" ht="14.1" hidden="1" customHeight="1">
      <c r="A39" s="34"/>
      <c r="B39" s="170" t="s">
        <v>520</v>
      </c>
      <c r="C39" s="34"/>
      <c r="D39" s="34"/>
      <c r="E39" s="34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4"/>
      <c r="AG39" s="34"/>
      <c r="AH39" s="34"/>
      <c r="AI39" s="34"/>
      <c r="AJ39" s="34"/>
      <c r="AK39" s="34"/>
    </row>
    <row r="40" spans="1:37" ht="14.1" hidden="1" customHeight="1">
      <c r="A40" s="34"/>
      <c r="B40" s="171" t="s">
        <v>476</v>
      </c>
      <c r="C40" s="34"/>
      <c r="D40" s="34"/>
      <c r="E40" s="34"/>
      <c r="F40" s="172">
        <f>SUM(G40:AE40)</f>
        <v>321.91561604611189</v>
      </c>
      <c r="G40" s="172">
        <f t="shared" ref="G40:H42" si="11">F23*G$59*$D11*5</f>
        <v>0</v>
      </c>
      <c r="H40" s="172">
        <f t="shared" si="11"/>
        <v>0</v>
      </c>
      <c r="I40" s="172"/>
      <c r="J40" s="172">
        <f>H23*J$59*$D11*5</f>
        <v>0</v>
      </c>
      <c r="K40" s="172">
        <f t="shared" ref="K40:L42" si="12">J23*K$59*$D11*5</f>
        <v>0</v>
      </c>
      <c r="L40" s="172">
        <f t="shared" si="12"/>
        <v>0</v>
      </c>
      <c r="M40" s="172"/>
      <c r="N40" s="172">
        <f>L23*N$59*$D11*5</f>
        <v>0</v>
      </c>
      <c r="O40" s="172">
        <f t="shared" ref="O40:R42" si="13">N23*O$59*$D11*5</f>
        <v>0</v>
      </c>
      <c r="P40" s="172">
        <f t="shared" si="13"/>
        <v>0</v>
      </c>
      <c r="Q40" s="172">
        <f t="shared" si="13"/>
        <v>0</v>
      </c>
      <c r="R40" s="172">
        <f t="shared" si="13"/>
        <v>42.341460427200005</v>
      </c>
      <c r="S40" s="172"/>
      <c r="T40" s="172">
        <f>R23*T$59*$D11*5</f>
        <v>51.785931727200008</v>
      </c>
      <c r="U40" s="172">
        <f t="shared" ref="U40:W42" si="14">T23*U$59*$D11*5</f>
        <v>67.217320513727998</v>
      </c>
      <c r="V40" s="172">
        <f t="shared" si="14"/>
        <v>66.522368971871984</v>
      </c>
      <c r="W40" s="172">
        <f t="shared" si="14"/>
        <v>36.758883690144003</v>
      </c>
      <c r="X40" s="172"/>
      <c r="Y40" s="172">
        <f>W23*Y$59*$D11*5</f>
        <v>15.248439671520002</v>
      </c>
      <c r="Z40" s="172">
        <f t="shared" ref="Z40:AA42" si="15">Y23*Z$59*$D11*5</f>
        <v>9.7420756065600003</v>
      </c>
      <c r="AA40" s="172">
        <f t="shared" si="15"/>
        <v>8.2283528447999981</v>
      </c>
      <c r="AB40" s="172"/>
      <c r="AC40" s="172">
        <f>AA23*AC$59*$D11*5</f>
        <v>6.6719340790080004</v>
      </c>
      <c r="AD40" s="172">
        <f>AC23*AD$59*$D11*5</f>
        <v>5.2525284060480004</v>
      </c>
      <c r="AE40" s="172">
        <f>(AD23+AE23)*AE$59*$D11*5</f>
        <v>12.146320108032002</v>
      </c>
      <c r="AF40" s="34"/>
      <c r="AG40" s="34"/>
      <c r="AH40" s="34"/>
      <c r="AI40" s="34"/>
      <c r="AJ40" s="34"/>
      <c r="AK40" s="34"/>
    </row>
    <row r="41" spans="1:37" ht="14.1" hidden="1" customHeight="1">
      <c r="A41" s="34"/>
      <c r="B41" s="171" t="s">
        <v>477</v>
      </c>
      <c r="C41" s="34"/>
      <c r="D41" s="34"/>
      <c r="E41" s="34"/>
      <c r="F41" s="172">
        <f>SUM(G41:AE41)</f>
        <v>454.38524585237877</v>
      </c>
      <c r="G41" s="172">
        <f t="shared" si="11"/>
        <v>0</v>
      </c>
      <c r="H41" s="172">
        <f t="shared" si="11"/>
        <v>0</v>
      </c>
      <c r="I41" s="172"/>
      <c r="J41" s="172">
        <f>H24*J$59*$D12*5</f>
        <v>0</v>
      </c>
      <c r="K41" s="172">
        <f t="shared" si="12"/>
        <v>0</v>
      </c>
      <c r="L41" s="172">
        <f t="shared" si="12"/>
        <v>0</v>
      </c>
      <c r="M41" s="172"/>
      <c r="N41" s="172">
        <f>L24*N$59*$D12*5</f>
        <v>0</v>
      </c>
      <c r="O41" s="172">
        <f t="shared" si="13"/>
        <v>0</v>
      </c>
      <c r="P41" s="172">
        <f t="shared" si="13"/>
        <v>0</v>
      </c>
      <c r="Q41" s="172">
        <f t="shared" si="13"/>
        <v>0</v>
      </c>
      <c r="R41" s="172">
        <f t="shared" si="13"/>
        <v>38.5836993108</v>
      </c>
      <c r="S41" s="172"/>
      <c r="T41" s="172">
        <f>R24*T$59*$D12*5</f>
        <v>50.249690467898411</v>
      </c>
      <c r="U41" s="172">
        <f t="shared" si="14"/>
        <v>81.124733487927912</v>
      </c>
      <c r="V41" s="172">
        <f t="shared" si="14"/>
        <v>98.027951478774185</v>
      </c>
      <c r="W41" s="172">
        <f t="shared" si="14"/>
        <v>77.222673445640254</v>
      </c>
      <c r="X41" s="172"/>
      <c r="Y41" s="172">
        <f>W24*Y$59*$D12*5</f>
        <v>42.671650383204643</v>
      </c>
      <c r="Z41" s="172">
        <f t="shared" si="15"/>
        <v>17.701192779337649</v>
      </c>
      <c r="AA41" s="172">
        <f t="shared" si="15"/>
        <v>11.309115037172283</v>
      </c>
      <c r="AB41" s="172"/>
      <c r="AC41" s="172">
        <f>AA24*AC$59*$D12*5</f>
        <v>9.5519058408483843</v>
      </c>
      <c r="AD41" s="172">
        <f>AC24*AD$59*$D12*5</f>
        <v>7.7451328718002888</v>
      </c>
      <c r="AE41" s="172">
        <f>(AD24+AE24)*AE$59*$D12*5</f>
        <v>20.197500748974811</v>
      </c>
      <c r="AF41" s="34"/>
      <c r="AG41" s="34"/>
      <c r="AH41" s="34"/>
      <c r="AI41" s="34"/>
      <c r="AJ41" s="34"/>
      <c r="AK41" s="34"/>
    </row>
    <row r="42" spans="1:37" ht="14.1" hidden="1" customHeight="1">
      <c r="A42" s="34"/>
      <c r="B42" s="171" t="s">
        <v>478</v>
      </c>
      <c r="C42" s="34"/>
      <c r="D42" s="34"/>
      <c r="E42" s="34"/>
      <c r="F42" s="172">
        <f>SUM(G42:AE42)</f>
        <v>549.93663403204982</v>
      </c>
      <c r="G42" s="172">
        <f t="shared" si="11"/>
        <v>0</v>
      </c>
      <c r="H42" s="172">
        <f t="shared" si="11"/>
        <v>0</v>
      </c>
      <c r="I42" s="172"/>
      <c r="J42" s="172">
        <f>H25*J$59*$D13*5</f>
        <v>0</v>
      </c>
      <c r="K42" s="172">
        <f t="shared" si="12"/>
        <v>0</v>
      </c>
      <c r="L42" s="172">
        <f t="shared" si="12"/>
        <v>0</v>
      </c>
      <c r="M42" s="172"/>
      <c r="N42" s="172">
        <f>L25*N$59*$D13*5</f>
        <v>0</v>
      </c>
      <c r="O42" s="172">
        <f t="shared" si="13"/>
        <v>0</v>
      </c>
      <c r="P42" s="172">
        <f t="shared" si="13"/>
        <v>0</v>
      </c>
      <c r="Q42" s="172">
        <f t="shared" si="13"/>
        <v>0</v>
      </c>
      <c r="R42" s="172">
        <f t="shared" si="13"/>
        <v>31.345826948800006</v>
      </c>
      <c r="S42" s="172"/>
      <c r="T42" s="172">
        <f>R25*T$59*$D13*5</f>
        <v>41.591560660158599</v>
      </c>
      <c r="U42" s="172">
        <f t="shared" si="14"/>
        <v>71.500433454744396</v>
      </c>
      <c r="V42" s="172">
        <f t="shared" si="14"/>
        <v>107.18118269145519</v>
      </c>
      <c r="W42" s="172">
        <f t="shared" si="14"/>
        <v>102.8153219713755</v>
      </c>
      <c r="X42" s="172"/>
      <c r="Y42" s="172">
        <f>W25*Y$59*$D13*5</f>
        <v>80.993980941477218</v>
      </c>
      <c r="Z42" s="172">
        <f t="shared" si="15"/>
        <v>44.755596817190728</v>
      </c>
      <c r="AA42" s="172">
        <f t="shared" si="15"/>
        <v>18.565662216037012</v>
      </c>
      <c r="AB42" s="172"/>
      <c r="AC42" s="172">
        <f>AA25*AC$59*$D13*5</f>
        <v>11.861415914724699</v>
      </c>
      <c r="AD42" s="172">
        <f>AC25*AD$59*$D13*5</f>
        <v>10.018390261676917</v>
      </c>
      <c r="AE42" s="172">
        <f>(AD25+AE25)*AE$59*$D13*5</f>
        <v>29.307262154409543</v>
      </c>
      <c r="AF42" s="34"/>
      <c r="AG42" s="34"/>
      <c r="AH42" s="34"/>
      <c r="AI42" s="34"/>
      <c r="AJ42" s="34"/>
      <c r="AK42" s="34"/>
    </row>
    <row r="43" spans="1:37" ht="14.1" hidden="1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</row>
    <row r="44" spans="1:37" ht="14.1" hidden="1" customHeight="1">
      <c r="A44" s="34"/>
      <c r="B44" s="156"/>
      <c r="C44" s="156"/>
      <c r="D44" s="156"/>
      <c r="E44" s="156"/>
      <c r="F44" s="156" t="s">
        <v>521</v>
      </c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56"/>
      <c r="U44" s="156"/>
      <c r="V44" s="156"/>
      <c r="W44" s="156"/>
      <c r="X44" s="156"/>
      <c r="Y44" s="156"/>
      <c r="Z44" s="156"/>
      <c r="AA44" s="156"/>
      <c r="AB44" s="156"/>
      <c r="AC44" s="156"/>
      <c r="AD44" s="156"/>
      <c r="AE44" s="156"/>
      <c r="AF44" s="34"/>
      <c r="AG44" s="34"/>
      <c r="AH44" s="34"/>
      <c r="AI44" s="34"/>
      <c r="AJ44" s="34"/>
      <c r="AK44" s="34"/>
    </row>
    <row r="45" spans="1:37" ht="14.1" hidden="1" customHeight="1">
      <c r="A45" s="34"/>
      <c r="B45" s="170" t="s">
        <v>520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</row>
    <row r="46" spans="1:37" ht="14.1" hidden="1" customHeight="1">
      <c r="A46" s="34"/>
      <c r="B46" s="171" t="s">
        <v>476</v>
      </c>
      <c r="C46" s="34"/>
      <c r="D46" s="34"/>
      <c r="E46" s="34"/>
      <c r="F46" s="172">
        <f>SUM(G46:AE46)</f>
        <v>974.44702363920032</v>
      </c>
      <c r="G46" s="172">
        <f t="shared" ref="G46:H48" si="16">F23*G$60*5</f>
        <v>0</v>
      </c>
      <c r="H46" s="172">
        <f t="shared" si="16"/>
        <v>0</v>
      </c>
      <c r="I46" s="172"/>
      <c r="J46" s="172">
        <f>H23*J$60*5</f>
        <v>0</v>
      </c>
      <c r="K46" s="172">
        <f t="shared" ref="K46:L48" si="17">J23*K$60*5</f>
        <v>0</v>
      </c>
      <c r="L46" s="172">
        <f t="shared" si="17"/>
        <v>102.76743245600002</v>
      </c>
      <c r="M46" s="172"/>
      <c r="N46" s="172">
        <f>L23*N$60*5</f>
        <v>150.47714616640005</v>
      </c>
      <c r="O46" s="172">
        <f t="shared" ref="O46:R48" si="18">N23*O$60*5</f>
        <v>241.55529145840006</v>
      </c>
      <c r="P46" s="172">
        <f t="shared" si="18"/>
        <v>112.98276087040003</v>
      </c>
      <c r="Q46" s="172">
        <f t="shared" si="18"/>
        <v>156.24016511040003</v>
      </c>
      <c r="R46" s="172">
        <f t="shared" si="18"/>
        <v>210.42422757760005</v>
      </c>
      <c r="S46" s="172"/>
      <c r="T46" s="172">
        <f>R23*T$60*5</f>
        <v>0</v>
      </c>
      <c r="U46" s="172">
        <f t="shared" ref="U46:W48" si="19">T23*U$60*5</f>
        <v>0</v>
      </c>
      <c r="V46" s="172">
        <f t="shared" si="19"/>
        <v>0</v>
      </c>
      <c r="W46" s="172">
        <f t="shared" si="19"/>
        <v>0</v>
      </c>
      <c r="X46" s="172"/>
      <c r="Y46" s="172">
        <f>W23*Y$60*5</f>
        <v>0</v>
      </c>
      <c r="Z46" s="172">
        <f t="shared" ref="Z46:AA48" si="20">Y23*Z$60*5</f>
        <v>0</v>
      </c>
      <c r="AA46" s="172">
        <f t="shared" si="20"/>
        <v>0</v>
      </c>
      <c r="AB46" s="172"/>
      <c r="AC46" s="172">
        <f>AA23*AC$60*5</f>
        <v>0</v>
      </c>
      <c r="AD46" s="172">
        <f t="shared" ref="AD46:AE48" si="21">AC23*AD$60*5</f>
        <v>0</v>
      </c>
      <c r="AE46" s="172">
        <f t="shared" si="21"/>
        <v>0</v>
      </c>
      <c r="AF46" s="34"/>
      <c r="AG46" s="34"/>
      <c r="AH46" s="34"/>
      <c r="AI46" s="34"/>
      <c r="AJ46" s="34"/>
      <c r="AK46" s="34"/>
    </row>
    <row r="47" spans="1:37" ht="14.1" hidden="1" customHeight="1">
      <c r="A47" s="34"/>
      <c r="B47" s="171" t="s">
        <v>477</v>
      </c>
      <c r="C47" s="34"/>
      <c r="D47" s="34"/>
      <c r="E47" s="34"/>
      <c r="F47" s="172">
        <f>SUM(G47:AE47)</f>
        <v>680.12237802400023</v>
      </c>
      <c r="G47" s="172">
        <f t="shared" si="16"/>
        <v>0</v>
      </c>
      <c r="H47" s="172">
        <f t="shared" si="16"/>
        <v>0</v>
      </c>
      <c r="I47" s="172"/>
      <c r="J47" s="172">
        <f>H24*J$60*5</f>
        <v>0</v>
      </c>
      <c r="K47" s="172">
        <f t="shared" si="17"/>
        <v>0</v>
      </c>
      <c r="L47" s="172">
        <f t="shared" si="17"/>
        <v>85.23244600000001</v>
      </c>
      <c r="M47" s="172"/>
      <c r="N47" s="172">
        <f>L24*N$60*5</f>
        <v>102.76743245600002</v>
      </c>
      <c r="O47" s="172">
        <f t="shared" si="18"/>
        <v>150.47714616640005</v>
      </c>
      <c r="P47" s="172">
        <f t="shared" si="18"/>
        <v>72.422427420800005</v>
      </c>
      <c r="Q47" s="172">
        <f t="shared" si="18"/>
        <v>112.98276087040003</v>
      </c>
      <c r="R47" s="172">
        <f t="shared" si="18"/>
        <v>156.24016511040003</v>
      </c>
      <c r="S47" s="172"/>
      <c r="T47" s="172">
        <f>R24*T$60*5</f>
        <v>0</v>
      </c>
      <c r="U47" s="172">
        <f t="shared" si="19"/>
        <v>0</v>
      </c>
      <c r="V47" s="172">
        <f t="shared" si="19"/>
        <v>0</v>
      </c>
      <c r="W47" s="172">
        <f t="shared" si="19"/>
        <v>0</v>
      </c>
      <c r="X47" s="172"/>
      <c r="Y47" s="172">
        <f>W24*Y$60*5</f>
        <v>0</v>
      </c>
      <c r="Z47" s="172">
        <f t="shared" si="20"/>
        <v>0</v>
      </c>
      <c r="AA47" s="172">
        <f t="shared" si="20"/>
        <v>0</v>
      </c>
      <c r="AB47" s="172"/>
      <c r="AC47" s="172">
        <f>AA24*AC$60*5</f>
        <v>0</v>
      </c>
      <c r="AD47" s="172">
        <f t="shared" si="21"/>
        <v>0</v>
      </c>
      <c r="AE47" s="172">
        <f t="shared" si="21"/>
        <v>0</v>
      </c>
      <c r="AF47" s="34"/>
      <c r="AG47" s="34"/>
      <c r="AH47" s="34"/>
      <c r="AI47" s="34"/>
      <c r="AJ47" s="34"/>
      <c r="AK47" s="34"/>
    </row>
    <row r="48" spans="1:37" ht="14.1" hidden="1" customHeight="1">
      <c r="A48" s="34"/>
      <c r="B48" s="171" t="s">
        <v>478</v>
      </c>
      <c r="C48" s="34"/>
      <c r="D48" s="34"/>
      <c r="E48" s="34"/>
      <c r="F48" s="172">
        <f>SUM(G48:AE48)</f>
        <v>502.12746306400015</v>
      </c>
      <c r="G48" s="172">
        <f t="shared" si="16"/>
        <v>0</v>
      </c>
      <c r="H48" s="172">
        <f t="shared" si="16"/>
        <v>0</v>
      </c>
      <c r="I48" s="172"/>
      <c r="J48" s="172">
        <f>H25*J$60*5</f>
        <v>0</v>
      </c>
      <c r="K48" s="172">
        <f t="shared" si="17"/>
        <v>0</v>
      </c>
      <c r="L48" s="172">
        <f t="shared" si="17"/>
        <v>83.606762000000003</v>
      </c>
      <c r="M48" s="172"/>
      <c r="N48" s="172">
        <f>L25*N$60*5</f>
        <v>85.23244600000001</v>
      </c>
      <c r="O48" s="172">
        <f t="shared" si="18"/>
        <v>102.76743245600002</v>
      </c>
      <c r="P48" s="172">
        <f t="shared" si="18"/>
        <v>45.115634316800012</v>
      </c>
      <c r="Q48" s="172">
        <f t="shared" si="18"/>
        <v>72.422427420800005</v>
      </c>
      <c r="R48" s="172">
        <f t="shared" si="18"/>
        <v>112.98276087040003</v>
      </c>
      <c r="S48" s="172"/>
      <c r="T48" s="172">
        <f>R25*T$60*5</f>
        <v>0</v>
      </c>
      <c r="U48" s="172">
        <f t="shared" si="19"/>
        <v>0</v>
      </c>
      <c r="V48" s="172">
        <f t="shared" si="19"/>
        <v>0</v>
      </c>
      <c r="W48" s="172">
        <f t="shared" si="19"/>
        <v>0</v>
      </c>
      <c r="X48" s="172"/>
      <c r="Y48" s="172">
        <f>W25*Y$60*5</f>
        <v>0</v>
      </c>
      <c r="Z48" s="172">
        <f t="shared" si="20"/>
        <v>0</v>
      </c>
      <c r="AA48" s="172">
        <f t="shared" si="20"/>
        <v>0</v>
      </c>
      <c r="AB48" s="172"/>
      <c r="AC48" s="172">
        <f>AA25*AC$60*5</f>
        <v>0</v>
      </c>
      <c r="AD48" s="172">
        <f t="shared" si="21"/>
        <v>0</v>
      </c>
      <c r="AE48" s="172">
        <f t="shared" si="21"/>
        <v>0</v>
      </c>
      <c r="AF48" s="34"/>
      <c r="AG48" s="34"/>
      <c r="AH48" s="34"/>
      <c r="AI48" s="34"/>
      <c r="AJ48" s="34"/>
      <c r="AK48" s="34"/>
    </row>
    <row r="49" spans="1:37" ht="14.1" hidden="1" customHeight="1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</row>
    <row r="50" spans="1:37" hidden="1">
      <c r="A50" s="34"/>
      <c r="B50" s="156"/>
      <c r="C50" s="156"/>
      <c r="D50" s="156"/>
      <c r="E50" s="156"/>
      <c r="F50" s="156" t="s">
        <v>522</v>
      </c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156"/>
      <c r="Y50" s="156"/>
      <c r="Z50" s="156"/>
      <c r="AA50" s="156"/>
      <c r="AB50" s="156"/>
      <c r="AC50" s="156"/>
      <c r="AD50" s="156"/>
      <c r="AE50" s="156"/>
      <c r="AF50" s="34"/>
      <c r="AG50" s="34"/>
      <c r="AH50" s="34"/>
      <c r="AI50" s="34"/>
      <c r="AJ50" s="34"/>
      <c r="AK50" s="34"/>
    </row>
    <row r="51" spans="1:37" hidden="1">
      <c r="A51" s="34"/>
      <c r="B51" s="170" t="s">
        <v>520</v>
      </c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</row>
    <row r="52" spans="1:37" hidden="1">
      <c r="A52" s="34"/>
      <c r="B52" s="171" t="s">
        <v>476</v>
      </c>
      <c r="C52" s="34"/>
      <c r="D52" s="34"/>
      <c r="E52" s="34"/>
      <c r="F52" s="172">
        <f>SUM(G52:AE52)</f>
        <v>1056.4830102400001</v>
      </c>
      <c r="G52" s="172">
        <f t="shared" ref="G52:H54" si="22">F23*G$61*5</f>
        <v>0</v>
      </c>
      <c r="H52" s="172">
        <f t="shared" si="22"/>
        <v>0</v>
      </c>
      <c r="I52" s="172"/>
      <c r="J52" s="172">
        <f>H23*J$61*5</f>
        <v>0</v>
      </c>
      <c r="K52" s="172">
        <f t="shared" ref="K52:L54" si="23">J23*K$61*5</f>
        <v>0</v>
      </c>
      <c r="L52" s="172">
        <f t="shared" si="23"/>
        <v>0</v>
      </c>
      <c r="M52" s="172"/>
      <c r="N52" s="172">
        <f>L23*N$61*5</f>
        <v>0</v>
      </c>
      <c r="O52" s="172">
        <f t="shared" ref="O52:R54" si="24">N23*O$61*5</f>
        <v>0</v>
      </c>
      <c r="P52" s="172">
        <f t="shared" si="24"/>
        <v>120.56087288000001</v>
      </c>
      <c r="Q52" s="172">
        <f t="shared" si="24"/>
        <v>166.71968837999998</v>
      </c>
      <c r="R52" s="172">
        <f t="shared" si="24"/>
        <v>224.53804771999998</v>
      </c>
      <c r="S52" s="172"/>
      <c r="T52" s="172">
        <f>R23*T$61*5</f>
        <v>274.62236522000001</v>
      </c>
      <c r="U52" s="172">
        <f t="shared" ref="U52:W54" si="25">T23*U$61*5</f>
        <v>270.04203603999997</v>
      </c>
      <c r="V52" s="172">
        <f t="shared" si="25"/>
        <v>0</v>
      </c>
      <c r="W52" s="172">
        <f t="shared" si="25"/>
        <v>0</v>
      </c>
      <c r="X52" s="172"/>
      <c r="Y52" s="172">
        <f>W23*Y$61*5</f>
        <v>0</v>
      </c>
      <c r="Z52" s="172">
        <f t="shared" ref="Z52:AA54" si="26">Y23*Z$61*5</f>
        <v>0</v>
      </c>
      <c r="AA52" s="172">
        <f t="shared" si="26"/>
        <v>0</v>
      </c>
      <c r="AB52" s="172"/>
      <c r="AC52" s="172">
        <f>AA23*AC$61*5</f>
        <v>0</v>
      </c>
      <c r="AD52" s="172">
        <f t="shared" ref="AD52:AE54" si="27">AC23*AD$61*5</f>
        <v>0</v>
      </c>
      <c r="AE52" s="172">
        <f t="shared" si="27"/>
        <v>0</v>
      </c>
      <c r="AF52" s="34"/>
      <c r="AG52" s="34"/>
      <c r="AH52" s="34"/>
      <c r="AI52" s="34"/>
      <c r="AJ52" s="34"/>
      <c r="AK52" s="34"/>
    </row>
    <row r="53" spans="1:37" hidden="1">
      <c r="A53" s="34"/>
      <c r="B53" s="171" t="s">
        <v>477</v>
      </c>
      <c r="C53" s="34"/>
      <c r="D53" s="34"/>
      <c r="E53" s="34"/>
      <c r="F53" s="172">
        <f>SUM(G53:AE53)</f>
        <v>847.24870983298001</v>
      </c>
      <c r="G53" s="172">
        <f t="shared" si="22"/>
        <v>0</v>
      </c>
      <c r="H53" s="172">
        <f t="shared" si="22"/>
        <v>0</v>
      </c>
      <c r="I53" s="172"/>
      <c r="J53" s="172">
        <f>H24*J$61*5</f>
        <v>0</v>
      </c>
      <c r="K53" s="172">
        <f t="shared" si="23"/>
        <v>0</v>
      </c>
      <c r="L53" s="172">
        <f t="shared" si="23"/>
        <v>0</v>
      </c>
      <c r="M53" s="172"/>
      <c r="N53" s="172">
        <f>L24*N$61*5</f>
        <v>0</v>
      </c>
      <c r="O53" s="172">
        <f t="shared" si="24"/>
        <v>0</v>
      </c>
      <c r="P53" s="172">
        <f t="shared" si="24"/>
        <v>77.280029260000006</v>
      </c>
      <c r="Q53" s="172">
        <f t="shared" si="24"/>
        <v>120.56087288000001</v>
      </c>
      <c r="R53" s="172">
        <f t="shared" si="24"/>
        <v>166.71968837999998</v>
      </c>
      <c r="S53" s="172"/>
      <c r="T53" s="172">
        <f>R24*T$61*5</f>
        <v>217.12829214523998</v>
      </c>
      <c r="U53" s="172">
        <f t="shared" si="25"/>
        <v>265.55982716774002</v>
      </c>
      <c r="V53" s="172">
        <f t="shared" si="25"/>
        <v>0</v>
      </c>
      <c r="W53" s="172">
        <f t="shared" si="25"/>
        <v>0</v>
      </c>
      <c r="X53" s="172"/>
      <c r="Y53" s="172">
        <f>W24*Y$61*5</f>
        <v>0</v>
      </c>
      <c r="Z53" s="172">
        <f t="shared" si="26"/>
        <v>0</v>
      </c>
      <c r="AA53" s="172">
        <f t="shared" si="26"/>
        <v>0</v>
      </c>
      <c r="AB53" s="172"/>
      <c r="AC53" s="172">
        <f>AA24*AC$61*5</f>
        <v>0</v>
      </c>
      <c r="AD53" s="172">
        <f t="shared" si="27"/>
        <v>0</v>
      </c>
      <c r="AE53" s="172">
        <f t="shared" si="27"/>
        <v>0</v>
      </c>
      <c r="AF53" s="34"/>
      <c r="AG53" s="34"/>
      <c r="AH53" s="34"/>
      <c r="AI53" s="34"/>
      <c r="AJ53" s="34"/>
      <c r="AK53" s="34"/>
    </row>
    <row r="54" spans="1:37" hidden="1">
      <c r="A54" s="34"/>
      <c r="B54" s="171" t="s">
        <v>478</v>
      </c>
      <c r="C54" s="34"/>
      <c r="D54" s="34"/>
      <c r="E54" s="34"/>
      <c r="F54" s="172">
        <f>SUM(G54:AE54)</f>
        <v>614.28472241396776</v>
      </c>
      <c r="G54" s="172">
        <f t="shared" si="22"/>
        <v>0</v>
      </c>
      <c r="H54" s="172">
        <f t="shared" si="22"/>
        <v>0</v>
      </c>
      <c r="I54" s="172"/>
      <c r="J54" s="172">
        <f>H25*J$61*5</f>
        <v>0</v>
      </c>
      <c r="K54" s="172">
        <f t="shared" si="23"/>
        <v>0</v>
      </c>
      <c r="L54" s="172">
        <f t="shared" si="23"/>
        <v>0</v>
      </c>
      <c r="M54" s="172"/>
      <c r="N54" s="172">
        <f>L25*N$61*5</f>
        <v>0</v>
      </c>
      <c r="O54" s="172">
        <f t="shared" si="24"/>
        <v>0</v>
      </c>
      <c r="P54" s="172">
        <f t="shared" si="24"/>
        <v>48.141682959999997</v>
      </c>
      <c r="Q54" s="172">
        <f t="shared" si="24"/>
        <v>77.280029260000006</v>
      </c>
      <c r="R54" s="172">
        <f t="shared" si="24"/>
        <v>120.56087288000001</v>
      </c>
      <c r="S54" s="172"/>
      <c r="T54" s="172">
        <f>R25*T$61*5</f>
        <v>159.96754100061</v>
      </c>
      <c r="U54" s="172">
        <f t="shared" si="25"/>
        <v>208.33459631335774</v>
      </c>
      <c r="V54" s="172">
        <f t="shared" si="25"/>
        <v>0</v>
      </c>
      <c r="W54" s="172">
        <f t="shared" si="25"/>
        <v>0</v>
      </c>
      <c r="X54" s="172"/>
      <c r="Y54" s="172">
        <f>W25*Y$61*5</f>
        <v>0</v>
      </c>
      <c r="Z54" s="172">
        <f t="shared" si="26"/>
        <v>0</v>
      </c>
      <c r="AA54" s="172">
        <f t="shared" si="26"/>
        <v>0</v>
      </c>
      <c r="AB54" s="172"/>
      <c r="AC54" s="172">
        <f>AA25*AC$61*5</f>
        <v>0</v>
      </c>
      <c r="AD54" s="172">
        <f t="shared" si="27"/>
        <v>0</v>
      </c>
      <c r="AE54" s="172">
        <f t="shared" si="27"/>
        <v>0</v>
      </c>
      <c r="AF54" s="34"/>
      <c r="AG54" s="34"/>
      <c r="AH54" s="34"/>
      <c r="AI54" s="34"/>
      <c r="AJ54" s="34"/>
      <c r="AK54" s="34"/>
    </row>
    <row r="55" spans="1:37" hidden="1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</row>
    <row r="56" spans="1:37" hidden="1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</row>
    <row r="57" spans="1:37" hidden="1">
      <c r="A57" s="34"/>
      <c r="B57" s="156" t="s">
        <v>523</v>
      </c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56"/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  <c r="AD57" s="156"/>
      <c r="AE57" s="156"/>
      <c r="AF57" s="34"/>
      <c r="AG57" s="34"/>
      <c r="AH57" s="34"/>
      <c r="AI57" s="34"/>
      <c r="AJ57" s="34"/>
      <c r="AK57" s="34"/>
    </row>
    <row r="58" spans="1:37" ht="14.1" hidden="1" customHeight="1">
      <c r="A58" s="34"/>
      <c r="B58" s="167" t="s">
        <v>508</v>
      </c>
      <c r="C58" s="168"/>
      <c r="D58" s="168"/>
      <c r="E58" s="156"/>
      <c r="F58" s="169" t="s">
        <v>372</v>
      </c>
      <c r="G58" s="169" t="s">
        <v>373</v>
      </c>
      <c r="H58" s="169">
        <v>2</v>
      </c>
      <c r="I58" s="169"/>
      <c r="J58" s="169">
        <v>3</v>
      </c>
      <c r="K58" s="169">
        <v>4</v>
      </c>
      <c r="L58" s="169">
        <v>5</v>
      </c>
      <c r="M58" s="169"/>
      <c r="N58" s="169">
        <v>6</v>
      </c>
      <c r="O58" s="169">
        <v>7</v>
      </c>
      <c r="P58" s="169">
        <v>8</v>
      </c>
      <c r="Q58" s="169">
        <v>9</v>
      </c>
      <c r="R58" s="169">
        <v>10</v>
      </c>
      <c r="S58" s="169"/>
      <c r="T58" s="169">
        <v>11</v>
      </c>
      <c r="U58" s="169">
        <v>12</v>
      </c>
      <c r="V58" s="169">
        <v>13</v>
      </c>
      <c r="W58" s="169">
        <v>14</v>
      </c>
      <c r="X58" s="169"/>
      <c r="Y58" s="169">
        <v>15</v>
      </c>
      <c r="Z58" s="169">
        <v>16</v>
      </c>
      <c r="AA58" s="169">
        <v>17</v>
      </c>
      <c r="AB58" s="169"/>
      <c r="AC58" s="169">
        <v>18</v>
      </c>
      <c r="AD58" s="169">
        <v>19</v>
      </c>
      <c r="AE58" s="169" t="s">
        <v>510</v>
      </c>
      <c r="AF58" s="34"/>
      <c r="AG58" s="34"/>
      <c r="AH58" s="34"/>
      <c r="AI58" s="34"/>
      <c r="AJ58" s="34"/>
      <c r="AK58" s="34"/>
    </row>
    <row r="59" spans="1:37" ht="15.95" hidden="1" customHeight="1">
      <c r="A59" s="34"/>
      <c r="B59" s="34" t="s">
        <v>380</v>
      </c>
      <c r="C59" s="34"/>
      <c r="D59" s="34"/>
      <c r="E59" s="34"/>
      <c r="F59" s="34"/>
      <c r="G59" s="173"/>
      <c r="H59" s="173"/>
      <c r="I59" s="173"/>
      <c r="J59" s="173"/>
      <c r="K59" s="173"/>
      <c r="L59" s="173"/>
      <c r="M59" s="173"/>
      <c r="N59" s="173"/>
      <c r="O59" s="173"/>
      <c r="P59" s="173"/>
      <c r="Q59" s="173"/>
      <c r="R59" s="174">
        <v>5.0000000000000001E-3</v>
      </c>
      <c r="S59" s="174"/>
      <c r="T59" s="174">
        <v>5.0000000000000001E-3</v>
      </c>
      <c r="U59" s="174">
        <v>6.6E-3</v>
      </c>
      <c r="V59" s="174">
        <v>8.2000000000000007E-3</v>
      </c>
      <c r="W59" s="174">
        <v>8.2000000000000007E-3</v>
      </c>
      <c r="X59" s="174"/>
      <c r="Y59" s="174">
        <v>8.2000000000000007E-3</v>
      </c>
      <c r="Z59" s="174">
        <v>8.2000000000000007E-3</v>
      </c>
      <c r="AA59" s="174">
        <v>8.2000000000000007E-3</v>
      </c>
      <c r="AB59" s="174"/>
      <c r="AC59" s="174">
        <v>8.2000000000000007E-3</v>
      </c>
      <c r="AD59" s="174">
        <v>8.2000000000000007E-3</v>
      </c>
      <c r="AE59" s="174">
        <v>8.2000000000000007E-3</v>
      </c>
      <c r="AF59" s="34"/>
      <c r="AG59" s="34"/>
      <c r="AH59" s="34"/>
      <c r="AI59" s="34"/>
      <c r="AJ59" s="34"/>
      <c r="AK59" s="34"/>
    </row>
    <row r="60" spans="1:37" ht="15.95" hidden="1" customHeight="1">
      <c r="A60" s="34"/>
      <c r="B60" s="34" t="s">
        <v>524</v>
      </c>
      <c r="C60" s="34"/>
      <c r="D60" s="34"/>
      <c r="E60" s="34"/>
      <c r="F60" s="34"/>
      <c r="G60" s="173"/>
      <c r="H60" s="173"/>
      <c r="I60" s="173"/>
      <c r="J60" s="173"/>
      <c r="K60" s="173"/>
      <c r="L60" s="174">
        <v>0.10940000000000001</v>
      </c>
      <c r="M60" s="174"/>
      <c r="N60" s="174">
        <v>0.10940000000000001</v>
      </c>
      <c r="O60" s="174">
        <v>0.10940000000000001</v>
      </c>
      <c r="P60" s="174">
        <v>3.2800000000000003E-2</v>
      </c>
      <c r="Q60" s="174">
        <v>3.2800000000000003E-2</v>
      </c>
      <c r="R60" s="174">
        <v>3.2800000000000003E-2</v>
      </c>
      <c r="S60" s="174"/>
      <c r="T60" s="174"/>
      <c r="U60" s="174"/>
      <c r="V60" s="173"/>
      <c r="W60" s="173"/>
      <c r="X60" s="173"/>
      <c r="Y60" s="173"/>
      <c r="Z60" s="173"/>
      <c r="AA60" s="173"/>
      <c r="AB60" s="173"/>
      <c r="AC60" s="173"/>
      <c r="AD60" s="173"/>
      <c r="AE60" s="173"/>
      <c r="AF60" s="34"/>
      <c r="AG60" s="34"/>
      <c r="AH60" s="34"/>
      <c r="AI60" s="34"/>
      <c r="AJ60" s="34"/>
      <c r="AK60" s="34"/>
    </row>
    <row r="61" spans="1:37" ht="15.95" hidden="1" customHeight="1">
      <c r="A61" s="34"/>
      <c r="B61" s="156" t="s">
        <v>384</v>
      </c>
      <c r="C61" s="156"/>
      <c r="D61" s="156"/>
      <c r="E61" s="156"/>
      <c r="F61" s="156"/>
      <c r="G61" s="175"/>
      <c r="H61" s="175"/>
      <c r="I61" s="175"/>
      <c r="J61" s="175"/>
      <c r="K61" s="175"/>
      <c r="L61" s="176"/>
      <c r="M61" s="176"/>
      <c r="N61" s="176"/>
      <c r="O61" s="176"/>
      <c r="P61" s="176">
        <v>3.4999999999999996E-2</v>
      </c>
      <c r="Q61" s="176">
        <v>3.4999999999999996E-2</v>
      </c>
      <c r="R61" s="176">
        <v>3.4999999999999996E-2</v>
      </c>
      <c r="S61" s="176"/>
      <c r="T61" s="176">
        <v>3.4999999999999996E-2</v>
      </c>
      <c r="U61" s="176">
        <v>3.4999999999999996E-2</v>
      </c>
      <c r="V61" s="175"/>
      <c r="W61" s="175"/>
      <c r="X61" s="175"/>
      <c r="Y61" s="175"/>
      <c r="Z61" s="175"/>
      <c r="AA61" s="175"/>
      <c r="AB61" s="175"/>
      <c r="AC61" s="175"/>
      <c r="AD61" s="175"/>
      <c r="AE61" s="175"/>
      <c r="AF61" s="34"/>
      <c r="AG61" s="34"/>
      <c r="AH61" s="34"/>
      <c r="AI61" s="34"/>
      <c r="AJ61" s="34"/>
      <c r="AK61" s="34"/>
    </row>
    <row r="62" spans="1:37" ht="15.95" hidden="1" customHeight="1">
      <c r="A62" s="34"/>
      <c r="B62" s="177" t="s">
        <v>525</v>
      </c>
      <c r="C62" s="177"/>
      <c r="D62" s="177"/>
      <c r="E62" s="177"/>
      <c r="F62" s="177"/>
      <c r="G62" s="178">
        <v>67</v>
      </c>
      <c r="H62" s="179">
        <v>7</v>
      </c>
      <c r="I62" s="179"/>
      <c r="J62" s="179"/>
      <c r="K62" s="179"/>
      <c r="L62" s="179">
        <v>6</v>
      </c>
      <c r="M62" s="179"/>
      <c r="N62" s="179">
        <v>6</v>
      </c>
      <c r="O62" s="179">
        <v>6</v>
      </c>
      <c r="P62" s="178">
        <v>6</v>
      </c>
      <c r="Q62" s="178">
        <v>6</v>
      </c>
      <c r="R62" s="178">
        <v>6</v>
      </c>
      <c r="S62" s="178"/>
      <c r="T62" s="178">
        <v>6</v>
      </c>
      <c r="U62" s="178">
        <v>6</v>
      </c>
      <c r="V62" s="180"/>
      <c r="W62" s="180"/>
      <c r="X62" s="180"/>
      <c r="Y62" s="180"/>
      <c r="Z62" s="180"/>
      <c r="AA62" s="180"/>
      <c r="AB62" s="180"/>
      <c r="AC62" s="180"/>
      <c r="AD62" s="180"/>
      <c r="AE62" s="180"/>
      <c r="AF62" s="34"/>
      <c r="AG62" s="34"/>
      <c r="AH62" s="34"/>
      <c r="AI62" s="34"/>
      <c r="AJ62" s="34"/>
      <c r="AK62" s="34"/>
    </row>
    <row r="63" spans="1:37" ht="15.95" hidden="1" customHeight="1">
      <c r="A63" s="34"/>
      <c r="B63" s="156" t="s">
        <v>526</v>
      </c>
      <c r="C63" s="156"/>
      <c r="D63" s="156"/>
      <c r="E63" s="156"/>
      <c r="F63" s="156"/>
      <c r="G63" s="181">
        <v>35</v>
      </c>
      <c r="H63" s="181">
        <v>7</v>
      </c>
      <c r="I63" s="181"/>
      <c r="J63" s="181"/>
      <c r="K63" s="181"/>
      <c r="L63" s="181">
        <v>6</v>
      </c>
      <c r="M63" s="181"/>
      <c r="N63" s="181">
        <v>6</v>
      </c>
      <c r="O63" s="181">
        <v>6</v>
      </c>
      <c r="P63" s="181">
        <v>6</v>
      </c>
      <c r="Q63" s="181">
        <v>6</v>
      </c>
      <c r="R63" s="181">
        <v>6</v>
      </c>
      <c r="S63" s="181"/>
      <c r="T63" s="181">
        <v>6</v>
      </c>
      <c r="U63" s="181">
        <v>6</v>
      </c>
      <c r="V63" s="180"/>
      <c r="W63" s="180"/>
      <c r="X63" s="180"/>
      <c r="Y63" s="180"/>
      <c r="Z63" s="180"/>
      <c r="AA63" s="180"/>
      <c r="AB63" s="180"/>
      <c r="AC63" s="180"/>
      <c r="AD63" s="180"/>
      <c r="AE63" s="180"/>
      <c r="AF63" s="34"/>
      <c r="AG63" s="34"/>
      <c r="AH63" s="34"/>
      <c r="AI63" s="34"/>
      <c r="AJ63" s="34"/>
      <c r="AK63" s="34"/>
    </row>
    <row r="64" spans="1:37" ht="15.95" hidden="1" customHeight="1">
      <c r="A64" s="34"/>
      <c r="B64" s="34" t="s">
        <v>527</v>
      </c>
      <c r="C64" s="34"/>
      <c r="D64" s="34"/>
      <c r="E64" s="34"/>
      <c r="F64" s="173">
        <v>0.18099999999999999</v>
      </c>
      <c r="G64" s="34"/>
      <c r="H64" s="293" t="s">
        <v>348</v>
      </c>
      <c r="I64" s="293"/>
      <c r="J64" s="293"/>
      <c r="K64" s="34"/>
      <c r="L64" s="293" t="s">
        <v>315</v>
      </c>
      <c r="M64" s="293"/>
      <c r="N64" s="293"/>
      <c r="O64" s="293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</row>
    <row r="65" spans="1:37" ht="15.95" hidden="1" customHeight="1">
      <c r="A65" s="34"/>
      <c r="B65" s="156" t="s">
        <v>528</v>
      </c>
      <c r="C65" s="156"/>
      <c r="D65" s="156"/>
      <c r="E65" s="156"/>
      <c r="F65" s="175">
        <v>0.18099999999999999</v>
      </c>
      <c r="G65" s="177"/>
      <c r="H65" s="182" t="s">
        <v>413</v>
      </c>
      <c r="I65" s="182"/>
      <c r="J65" s="182" t="s">
        <v>352</v>
      </c>
      <c r="K65" s="171"/>
      <c r="L65" s="171" t="s">
        <v>316</v>
      </c>
      <c r="M65" s="171"/>
      <c r="N65" s="171" t="s">
        <v>319</v>
      </c>
      <c r="O65" s="171" t="s">
        <v>317</v>
      </c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</row>
    <row r="66" spans="1:37" ht="15.95" hidden="1" customHeight="1">
      <c r="A66" s="34"/>
      <c r="B66" s="177" t="s">
        <v>396</v>
      </c>
      <c r="C66" s="177"/>
      <c r="D66" s="177"/>
      <c r="E66" s="177"/>
      <c r="F66" s="183">
        <v>2.380019118738079E-3</v>
      </c>
      <c r="G66" s="34"/>
      <c r="H66" s="184"/>
      <c r="I66" s="184"/>
      <c r="J66" s="184"/>
      <c r="K66" s="171"/>
      <c r="L66" s="169" t="s">
        <v>549</v>
      </c>
      <c r="M66" s="169"/>
      <c r="N66" s="169" t="s">
        <v>550</v>
      </c>
      <c r="O66" s="169" t="s">
        <v>549</v>
      </c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</row>
    <row r="67" spans="1:37" ht="15.95" hidden="1" customHeight="1">
      <c r="A67" s="34"/>
      <c r="B67" s="156" t="s">
        <v>530</v>
      </c>
      <c r="C67" s="156"/>
      <c r="D67" s="156"/>
      <c r="E67" s="156"/>
      <c r="F67" s="181">
        <v>132</v>
      </c>
      <c r="G67" s="156"/>
      <c r="H67" s="185">
        <v>0.48884013273989008</v>
      </c>
      <c r="I67" s="185"/>
      <c r="J67" s="185">
        <v>0.19157384736886188</v>
      </c>
      <c r="K67" s="156"/>
      <c r="L67" s="185">
        <v>0.74346590950120928</v>
      </c>
      <c r="M67" s="185"/>
      <c r="N67" s="185">
        <v>0.56999999999999995</v>
      </c>
      <c r="O67" s="185">
        <v>0.74346590950120928</v>
      </c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</row>
    <row r="68" spans="1:37" ht="15.95" hidden="1" customHeight="1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</row>
    <row r="69" spans="1:37" ht="15.95" customHeight="1"/>
    <row r="70" spans="1:37" ht="15.95" customHeight="1"/>
    <row r="71" spans="1:37" ht="15.95" customHeight="1"/>
    <row r="72" spans="1:37" ht="15.95" customHeight="1"/>
    <row r="73" spans="1:37" ht="15.95" customHeight="1"/>
    <row r="74" spans="1:37" ht="15.95" customHeight="1"/>
  </sheetData>
  <mergeCells count="34">
    <mergeCell ref="AC7:AC8"/>
    <mergeCell ref="AD7:AD8"/>
    <mergeCell ref="AE7:AG7"/>
    <mergeCell ref="Y7:Y8"/>
    <mergeCell ref="Z7:Z8"/>
    <mergeCell ref="AA7:AA8"/>
    <mergeCell ref="H64:J64"/>
    <mergeCell ref="L64:O64"/>
    <mergeCell ref="AC6:AH6"/>
    <mergeCell ref="AJ6:AK6"/>
    <mergeCell ref="F7:F8"/>
    <mergeCell ref="G7:G8"/>
    <mergeCell ref="H7:H8"/>
    <mergeCell ref="J7:J8"/>
    <mergeCell ref="K7:K8"/>
    <mergeCell ref="L7:L8"/>
    <mergeCell ref="N7:N8"/>
    <mergeCell ref="O7:O8"/>
    <mergeCell ref="Y6:AA6"/>
    <mergeCell ref="AH7:AH8"/>
    <mergeCell ref="AJ7:AJ8"/>
    <mergeCell ref="AK7:AK8"/>
    <mergeCell ref="U7:U8"/>
    <mergeCell ref="V7:V8"/>
    <mergeCell ref="D6:D8"/>
    <mergeCell ref="F6:H6"/>
    <mergeCell ref="J6:L6"/>
    <mergeCell ref="N6:R6"/>
    <mergeCell ref="T6:W6"/>
    <mergeCell ref="P7:P8"/>
    <mergeCell ref="Q7:Q8"/>
    <mergeCell ref="R7:R8"/>
    <mergeCell ref="T7:T8"/>
    <mergeCell ref="W7:W8"/>
  </mergeCells>
  <phoneticPr fontId="4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99FF"/>
    <pageSetUpPr fitToPage="1"/>
  </sheetPr>
  <dimension ref="A1:AK74"/>
  <sheetViews>
    <sheetView showGridLines="0" workbookViewId="0">
      <selection activeCell="U69" sqref="U69"/>
    </sheetView>
  </sheetViews>
  <sheetFormatPr defaultRowHeight="13.5"/>
  <cols>
    <col min="1" max="1" width="2.625" customWidth="1"/>
    <col min="2" max="2" width="9.625" customWidth="1"/>
    <col min="3" max="3" width="1.625" customWidth="1"/>
    <col min="4" max="4" width="9.125" customWidth="1"/>
    <col min="5" max="5" width="1.625" customWidth="1"/>
    <col min="6" max="6" width="8.625" customWidth="1"/>
    <col min="7" max="8" width="7.625" customWidth="1"/>
    <col min="9" max="9" width="1.625" customWidth="1"/>
    <col min="10" max="10" width="6.625" customWidth="1"/>
    <col min="11" max="11" width="7.625" customWidth="1"/>
    <col min="12" max="12" width="8.125" customWidth="1"/>
    <col min="13" max="13" width="1.625" customWidth="1"/>
    <col min="14" max="14" width="6.625" customWidth="1"/>
    <col min="15" max="18" width="7.625" customWidth="1"/>
    <col min="19" max="19" width="1.625" customWidth="1"/>
    <col min="20" max="20" width="7.125" customWidth="1"/>
    <col min="21" max="23" width="7.625" customWidth="1"/>
    <col min="24" max="24" width="1.625" customWidth="1"/>
    <col min="25" max="25" width="7.125" customWidth="1"/>
    <col min="26" max="27" width="7.625" customWidth="1"/>
    <col min="28" max="28" width="1.625" customWidth="1"/>
    <col min="29" max="29" width="6.625" customWidth="1"/>
    <col min="30" max="30" width="8.125" customWidth="1"/>
    <col min="31" max="32" width="7.625" customWidth="1"/>
    <col min="33" max="33" width="8.625" customWidth="1"/>
    <col min="34" max="34" width="8.125" customWidth="1"/>
    <col min="36" max="37" width="9" style="137" hidden="1" customWidth="1"/>
    <col min="38" max="16384" width="9" style="137"/>
  </cols>
  <sheetData>
    <row r="1" spans="1:37">
      <c r="A1" s="1" t="s">
        <v>674</v>
      </c>
      <c r="B1" s="1"/>
      <c r="C1" s="1"/>
      <c r="D1" s="1"/>
      <c r="E1" s="1"/>
      <c r="K1" s="152"/>
      <c r="AJ1" s="153" t="s">
        <v>487</v>
      </c>
      <c r="AK1" s="34"/>
    </row>
    <row r="2" spans="1:37">
      <c r="B2" s="39" t="s">
        <v>557</v>
      </c>
      <c r="C2" s="11"/>
      <c r="D2" s="11"/>
      <c r="E2" s="11"/>
      <c r="K2" s="154"/>
      <c r="AJ2" s="34"/>
      <c r="AK2" s="34"/>
    </row>
    <row r="3" spans="1:37">
      <c r="K3" s="155"/>
      <c r="P3" s="155"/>
      <c r="AJ3" s="34"/>
      <c r="AK3" s="34"/>
    </row>
    <row r="4" spans="1:37">
      <c r="C4" s="32" t="s">
        <v>543</v>
      </c>
      <c r="D4" t="s">
        <v>432</v>
      </c>
      <c r="F4" t="s">
        <v>533</v>
      </c>
      <c r="K4" t="str">
        <f>"再造林率：現状 ("&amp;TEXT(H67,"00%")&amp;")"</f>
        <v>再造林率：現状 (49%)</v>
      </c>
      <c r="AJ4" s="34"/>
      <c r="AK4" s="34"/>
    </row>
    <row r="5" spans="1:37" ht="15.95" customHeight="1">
      <c r="B5" s="2"/>
      <c r="C5" s="2"/>
      <c r="D5" s="2"/>
      <c r="E5" s="2"/>
      <c r="F5" s="3"/>
      <c r="G5" s="44"/>
      <c r="H5" s="2"/>
      <c r="I5" s="16"/>
      <c r="L5" s="2"/>
      <c r="M5" s="2"/>
      <c r="N5" s="2"/>
      <c r="O5" s="2"/>
      <c r="P5" s="2"/>
      <c r="Q5" s="3"/>
      <c r="R5" s="109"/>
      <c r="S5" s="109"/>
      <c r="T5" s="2"/>
      <c r="U5" s="3"/>
      <c r="V5" s="109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J5" s="156"/>
      <c r="AK5" s="156"/>
    </row>
    <row r="6" spans="1:37" ht="15.95" customHeight="1">
      <c r="B6" s="131"/>
      <c r="C6" s="131"/>
      <c r="D6" s="289" t="s">
        <v>490</v>
      </c>
      <c r="E6" s="104"/>
      <c r="F6" s="265" t="s">
        <v>399</v>
      </c>
      <c r="G6" s="265"/>
      <c r="H6" s="265"/>
      <c r="I6" s="104"/>
      <c r="J6" s="265" t="s">
        <v>400</v>
      </c>
      <c r="K6" s="265"/>
      <c r="L6" s="265"/>
      <c r="M6" s="104"/>
      <c r="N6" s="265" t="s">
        <v>689</v>
      </c>
      <c r="O6" s="265"/>
      <c r="P6" s="265"/>
      <c r="Q6" s="265"/>
      <c r="R6" s="265"/>
      <c r="S6" s="104"/>
      <c r="T6" s="265" t="s">
        <v>687</v>
      </c>
      <c r="U6" s="265"/>
      <c r="V6" s="265"/>
      <c r="W6" s="265"/>
      <c r="X6" s="104"/>
      <c r="Y6" s="265" t="s">
        <v>347</v>
      </c>
      <c r="Z6" s="265"/>
      <c r="AA6" s="265"/>
      <c r="AB6" s="104"/>
      <c r="AC6" s="265" t="s">
        <v>491</v>
      </c>
      <c r="AD6" s="265"/>
      <c r="AE6" s="265"/>
      <c r="AF6" s="265"/>
      <c r="AG6" s="265"/>
      <c r="AH6" s="265"/>
      <c r="AJ6" s="293" t="s">
        <v>492</v>
      </c>
      <c r="AK6" s="293"/>
    </row>
    <row r="7" spans="1:37" ht="15.95" customHeight="1">
      <c r="B7" s="15" t="s">
        <v>493</v>
      </c>
      <c r="C7" s="16"/>
      <c r="D7" s="276"/>
      <c r="E7" s="55"/>
      <c r="F7" s="289" t="s">
        <v>1</v>
      </c>
      <c r="G7" s="289" t="s">
        <v>316</v>
      </c>
      <c r="H7" s="289" t="s">
        <v>317</v>
      </c>
      <c r="I7" s="55"/>
      <c r="J7" s="289" t="s">
        <v>1</v>
      </c>
      <c r="K7" s="289" t="s">
        <v>401</v>
      </c>
      <c r="L7" s="289" t="s">
        <v>319</v>
      </c>
      <c r="M7" s="55"/>
      <c r="N7" s="289" t="s">
        <v>1</v>
      </c>
      <c r="O7" s="289" t="s">
        <v>494</v>
      </c>
      <c r="P7" s="289" t="s">
        <v>403</v>
      </c>
      <c r="Q7" s="289" t="s">
        <v>495</v>
      </c>
      <c r="R7" s="289" t="s">
        <v>496</v>
      </c>
      <c r="S7" s="55"/>
      <c r="T7" s="289" t="s">
        <v>1</v>
      </c>
      <c r="U7" s="289" t="s">
        <v>494</v>
      </c>
      <c r="V7" s="289" t="s">
        <v>495</v>
      </c>
      <c r="W7" s="289" t="s">
        <v>496</v>
      </c>
      <c r="X7" s="55"/>
      <c r="Y7" s="289" t="s">
        <v>1</v>
      </c>
      <c r="Z7" s="289" t="s">
        <v>413</v>
      </c>
      <c r="AA7" s="289" t="s">
        <v>352</v>
      </c>
      <c r="AB7" s="55"/>
      <c r="AC7" s="289" t="s">
        <v>1</v>
      </c>
      <c r="AD7" s="289" t="s">
        <v>497</v>
      </c>
      <c r="AE7" s="286" t="s">
        <v>498</v>
      </c>
      <c r="AF7" s="286"/>
      <c r="AG7" s="286"/>
      <c r="AH7" s="289" t="s">
        <v>499</v>
      </c>
      <c r="AJ7" s="294" t="s">
        <v>500</v>
      </c>
      <c r="AK7" s="294" t="s">
        <v>501</v>
      </c>
    </row>
    <row r="8" spans="1:37" ht="15.95" customHeight="1">
      <c r="B8" s="6"/>
      <c r="D8" s="278"/>
      <c r="E8" s="55"/>
      <c r="F8" s="278"/>
      <c r="G8" s="278"/>
      <c r="H8" s="278"/>
      <c r="I8" s="55"/>
      <c r="J8" s="278"/>
      <c r="K8" s="278"/>
      <c r="L8" s="278"/>
      <c r="M8" s="55"/>
      <c r="N8" s="278"/>
      <c r="O8" s="278"/>
      <c r="P8" s="278"/>
      <c r="Q8" s="278"/>
      <c r="R8" s="278"/>
      <c r="S8" s="55"/>
      <c r="T8" s="278"/>
      <c r="U8" s="278"/>
      <c r="V8" s="278"/>
      <c r="W8" s="278"/>
      <c r="X8" s="55"/>
      <c r="Y8" s="278"/>
      <c r="Z8" s="278"/>
      <c r="AA8" s="278"/>
      <c r="AB8" s="55"/>
      <c r="AC8" s="278"/>
      <c r="AD8" s="278"/>
      <c r="AE8" s="56" t="s">
        <v>1</v>
      </c>
      <c r="AF8" s="56" t="s">
        <v>401</v>
      </c>
      <c r="AG8" s="56" t="s">
        <v>319</v>
      </c>
      <c r="AH8" s="278"/>
      <c r="AJ8" s="295"/>
      <c r="AK8" s="295"/>
    </row>
    <row r="9" spans="1:37" ht="14.1" customHeight="1">
      <c r="E9" s="16"/>
      <c r="F9" s="16" t="s">
        <v>474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71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J9" s="34"/>
      <c r="AK9" s="34"/>
    </row>
    <row r="10" spans="1:37" ht="14.1" customHeight="1">
      <c r="B10" s="106" t="s">
        <v>538</v>
      </c>
      <c r="D10" s="49"/>
      <c r="E10" s="110"/>
      <c r="F10" s="157">
        <f>SUM(G10:H10)</f>
        <v>70.447052880172407</v>
      </c>
      <c r="G10" s="157">
        <v>38.885333558651013</v>
      </c>
      <c r="H10" s="157">
        <v>31.561719321521402</v>
      </c>
      <c r="I10" s="157"/>
      <c r="J10" s="158">
        <f>SUM(K10:L10)</f>
        <v>516.63924816976009</v>
      </c>
      <c r="K10" s="158">
        <v>282.07085384376006</v>
      </c>
      <c r="L10" s="158">
        <v>234.568394326</v>
      </c>
      <c r="M10" s="157"/>
      <c r="N10" s="157">
        <f>SUM(O10:R10)</f>
        <v>42.331700162355752</v>
      </c>
      <c r="O10" s="110">
        <v>14.006981502836402</v>
      </c>
      <c r="P10" s="110">
        <v>11.131364598429178</v>
      </c>
      <c r="Q10" s="110">
        <v>13.027207110649348</v>
      </c>
      <c r="R10" s="110">
        <v>4.1661469504408251</v>
      </c>
      <c r="S10" s="110"/>
      <c r="T10" s="110">
        <f>SUM(U10:W10)</f>
        <v>20.936609527068185</v>
      </c>
      <c r="U10" s="110">
        <v>10.41371324237288</v>
      </c>
      <c r="V10" s="110">
        <v>7.4255080530701276</v>
      </c>
      <c r="W10" s="110">
        <v>3.0973882316251773</v>
      </c>
      <c r="X10" s="110"/>
      <c r="Y10" s="110">
        <f>SUM(Z10:AA10)</f>
        <v>25.055111618445864</v>
      </c>
      <c r="Z10" s="110">
        <v>19.008711618445862</v>
      </c>
      <c r="AA10" s="110">
        <v>6.0464000000000002</v>
      </c>
      <c r="AB10" s="110"/>
      <c r="AC10" s="110">
        <f>SUM(AD10:AE10,AH10)</f>
        <v>7.936848516848956</v>
      </c>
      <c r="AD10" s="110">
        <v>1.8926768784358732</v>
      </c>
      <c r="AE10" s="110">
        <f>SUM(AF10:AG10)</f>
        <v>3.6271588523669189</v>
      </c>
      <c r="AF10" s="110">
        <v>1.6924251230625604</v>
      </c>
      <c r="AG10" s="110">
        <f>V10/AK10</f>
        <v>1.9347337293043583</v>
      </c>
      <c r="AH10" s="110">
        <f>(U10+W10)/AJ10</f>
        <v>2.4170127860461639</v>
      </c>
      <c r="AJ10" s="159">
        <v>5.59</v>
      </c>
      <c r="AK10" s="159">
        <v>3.8380000000000001</v>
      </c>
    </row>
    <row r="11" spans="1:37" ht="14.1" customHeight="1">
      <c r="B11" s="106" t="s">
        <v>505</v>
      </c>
      <c r="D11" s="160">
        <v>1.38</v>
      </c>
      <c r="E11" s="161"/>
      <c r="F11" s="157">
        <f>SUM(G11:H11)</f>
        <v>99.154549520152329</v>
      </c>
      <c r="G11" s="157">
        <f>F40/5</f>
        <v>67.309628809641609</v>
      </c>
      <c r="H11" s="157">
        <f>AG23*F$66</f>
        <v>31.844920710510717</v>
      </c>
      <c r="I11" s="162"/>
      <c r="J11" s="158">
        <f>SUM(K11:L11)</f>
        <v>406.18600677584004</v>
      </c>
      <c r="K11" s="158">
        <f>F46/5</f>
        <v>194.88940472784006</v>
      </c>
      <c r="L11" s="158">
        <f>F52/5</f>
        <v>211.29660204800001</v>
      </c>
      <c r="M11" s="162"/>
      <c r="N11" s="157">
        <f>SUM(O11:R11)</f>
        <v>50.092248478101865</v>
      </c>
      <c r="O11" s="110">
        <f>SUM($H40*($G$29+$H$29),$J40*($H$29+$J$29),$K40*($J$29+$K$29),$L40*($K$29+$L$29),$N40*($L$29+$N$29),$O40*($N$29+$O$29),$P40*($O$29+$P$29),$Q40*($P$29+$Q$29),$R40*($Q$29+$R$29),$T40*($R$29+$T$29),$U40*($T$29+$U$29),$V40*($U$29+$V$29),$W40*($V$29+$W$29),$Y40*($W$29+$Y$29),$Z40*($Y$29+$Z$29),$AA40*($Z$29+$AA$29),$AC40*($AA$29+$AC$29),$AD40*($AC$29+$AD$29),$AE40*($AD$29+$AE$29))/2/5/1000</f>
        <v>25.472169102162965</v>
      </c>
      <c r="P11" s="110">
        <f>SUM($H46*($G$29+$H$29),$J46*($H$29+$J$29),$K46*($J$29+$K$29),$L46*($K$29+$L$29),$N46*($L$29+$N$29),$O46*($N$29+$O$29),$P46*($O$29+$P$29),$Q46*($P$29+$Q$29),$R46*($Q$29+$R$29),$T46*($R$29+$T$29),$U46*($T$29+$U$29),$V46*($U$29+$V$29),$W46*($V$29+$W$29),$Y46*($W$29+$Y$29),$Z46*($Y$29+$Z$29),$AA46*($Z$29+$AA$29),$AC46*($AA$29+$AC$29),$AD46*($AC$29+$AD$29),$AE46*($AD$29+$AE$29))*$F$64/2/5/1000</f>
        <v>8.1339971268373787</v>
      </c>
      <c r="Q11" s="110">
        <f>SUM($H52*($G$29+$H$29),$J52*($H$29+$J$29),$K52*($J$29+$K$29),$L52*($K$29+$L$29),$N52*($L$29+$N$29),$O52*($N$29+$O$29),$P52*($O$29+$P$29),$Q52*($P$29+$Q$29),$R52*($Q$29+$R$29),$T52*($R$29+$T$29),$U52*($T$29+$U$29),$V52*($U$29+$V$29),$W52*($V$29+$W$29),$Y52*($W$29+$Y$29),$Z52*($Y$29+$Z$29),$AA52*($Z$29+$AA$29),$AC52*($AA$29+$AC$29),$AD52*($AC$29+$AD$29),$AE52*($AD$29+$AE$29))*$F$65/2/5/1000</f>
        <v>12.282552715314102</v>
      </c>
      <c r="R11" s="110">
        <f>H11*F$67/1000</f>
        <v>4.2035295337874148</v>
      </c>
      <c r="S11" s="161"/>
      <c r="T11" s="110">
        <f>SUM(U11:W11)</f>
        <v>29.063925324189682</v>
      </c>
      <c r="U11" s="110">
        <f>O11*L$67</f>
        <v>18.937689368508192</v>
      </c>
      <c r="V11" s="110">
        <f t="shared" ref="V11:W13" si="0">Q11*N$67</f>
        <v>7.0010550477290376</v>
      </c>
      <c r="W11" s="110">
        <f t="shared" si="0"/>
        <v>3.1251809079524544</v>
      </c>
      <c r="X11" s="161"/>
      <c r="Y11" s="110">
        <f>SUM(Z11:AA11)</f>
        <v>39.004301861646823</v>
      </c>
      <c r="Z11" s="110">
        <f>G11*H$67</f>
        <v>32.903647881977932</v>
      </c>
      <c r="AA11" s="110">
        <f>H11*J$67</f>
        <v>6.1006539796688886</v>
      </c>
      <c r="AB11" s="161"/>
      <c r="AC11" s="110">
        <f>SUM(AD11:AE11,AH11)</f>
        <v>7.0361075402646005</v>
      </c>
      <c r="AD11" s="110">
        <f>SUMPRODUCT(G24:H24,IF($D$4="従来",G$62:H$62,IF($D$4="省力",G$63:H$63)))/5/1000</f>
        <v>1.5403185651576388</v>
      </c>
      <c r="AE11" s="110">
        <f>SUM(AF11:AG11)</f>
        <v>2.6851679301371147</v>
      </c>
      <c r="AF11" s="110">
        <f>SUMPRODUCT(L46:R46,IF($D$4="従来",L$62:R$62,IF($D$4="省力",L$63:R$63)))/5/1000</f>
        <v>1.1693364283670402</v>
      </c>
      <c r="AG11" s="110">
        <f>V11/AK11</f>
        <v>1.5158315017700745</v>
      </c>
      <c r="AH11" s="110">
        <f>(U11+W11)/AJ11</f>
        <v>2.8106210449698472</v>
      </c>
      <c r="AJ11" s="159">
        <v>7.8498203505401207</v>
      </c>
      <c r="AK11" s="159">
        <v>4.6186235340496156</v>
      </c>
    </row>
    <row r="12" spans="1:37" ht="14.1" customHeight="1">
      <c r="B12" s="106" t="s">
        <v>477</v>
      </c>
      <c r="D12" s="160">
        <v>1.55</v>
      </c>
      <c r="E12" s="161"/>
      <c r="F12" s="157">
        <f>SUM(G12:H12)</f>
        <v>118.55198977083404</v>
      </c>
      <c r="G12" s="157">
        <f>F41/5</f>
        <v>86.779667425865412</v>
      </c>
      <c r="H12" s="157">
        <f>AG24*F$66</f>
        <v>31.772322344968629</v>
      </c>
      <c r="I12" s="162"/>
      <c r="J12" s="158">
        <f>SUM(K12:L12)</f>
        <v>305.32446944751405</v>
      </c>
      <c r="K12" s="158">
        <f>F47/5</f>
        <v>136.02447560480005</v>
      </c>
      <c r="L12" s="158">
        <f>F53/5</f>
        <v>169.299993842714</v>
      </c>
      <c r="M12" s="162"/>
      <c r="N12" s="157">
        <f>SUM(O12:R12)</f>
        <v>53.666090864154974</v>
      </c>
      <c r="O12" s="110">
        <f>SUM($H41*($G$29+$H$29),$J41*($H$29+$J$29),$K41*($J$29+$K$29),$L41*($K$29+$L$29),$N41*($L$29+$N$29),$O41*($N$29+$O$29),$P41*($O$29+$P$29),$Q41*($P$29+$Q$29),$R41*($Q$29+$R$29),$T41*($R$29+$T$29),$U41*($T$29+$U$29),$V41*($U$29+$V$29),$W41*($V$29+$W$29),$Y41*($W$29+$Y$29),$Z41*($Y$29+$Z$29),$AA41*($Z$29+$AA$29),$AC41*($AA$29+$AC$29),$AD41*($AC$29+$AD$29),$AE41*($AD$29+$AE$29))/2/5/1000</f>
        <v>33.802988604519761</v>
      </c>
      <c r="P12" s="110">
        <f>SUM($H47*($G$29+$H$29),$J47*($H$29+$J$29),$K47*($J$29+$K$29),$L47*($K$29+$L$29),$N47*($L$29+$N$29),$O47*($N$29+$O$29),$P47*($O$29+$P$29),$Q47*($P$29+$Q$29),$R47*($Q$29+$R$29),$T47*($R$29+$T$29),$U47*($T$29+$U$29),$V47*($U$29+$V$29),$W47*($V$29+$W$29),$Y47*($W$29+$Y$29),$Z47*($Y$29+$Z$29),$AA47*($Z$29+$AA$29),$AC47*($AA$29+$AC$29),$AD47*($AC$29+$AD$29),$AE47*($AD$29+$AE$29))*F$64/2/5/1000</f>
        <v>5.6787433076998912</v>
      </c>
      <c r="Q12" s="110">
        <f>SUM($H53*($G$29+$H$29),$J53*($H$29+$J$29),$K53*($J$29+$K$29),$L53*($K$29+$L$29),$N53*($L$29+$N$29),$O53*($N$29+$O$29),$P53*($O$29+$P$29),$Q53*($P$29+$Q$29),$R53*($Q$29+$R$29),$T53*($R$29+$T$29),$U53*($T$29+$U$29),$V53*($U$29+$V$29),$W53*($V$29+$W$29),$Y53*($W$29+$Y$29),$Z53*($Y$29+$Z$29),$AA53*($Z$29+$AA$29),$AC53*($AA$29+$AC$29),$AD53*($AC$29+$AD$29),$AE53*($AD$29+$AE$29))*$F$65/2/5/1000</f>
        <v>9.9904124023994658</v>
      </c>
      <c r="R12" s="110">
        <f>H12*F$67/1000</f>
        <v>4.193946549535859</v>
      </c>
      <c r="S12" s="161"/>
      <c r="T12" s="110">
        <f>SUM(U12:W12)</f>
        <v>33.943961021936126</v>
      </c>
      <c r="U12" s="110">
        <f>O12*L$67</f>
        <v>25.131369666718296</v>
      </c>
      <c r="V12" s="110">
        <f t="shared" si="0"/>
        <v>5.6945350693676948</v>
      </c>
      <c r="W12" s="110">
        <f t="shared" si="0"/>
        <v>3.1180562858501357</v>
      </c>
      <c r="X12" s="161"/>
      <c r="Y12" s="110">
        <f>SUM(Z12:AA12)</f>
        <v>48.50813017505287</v>
      </c>
      <c r="Z12" s="110">
        <f>G12*H$67</f>
        <v>42.421384143583566</v>
      </c>
      <c r="AA12" s="110">
        <f>H12*J$67</f>
        <v>6.0867460314692998</v>
      </c>
      <c r="AB12" s="161"/>
      <c r="AC12" s="110">
        <f>SUM(AD12:AE12,AH12)</f>
        <v>6.2291778307996353</v>
      </c>
      <c r="AD12" s="110">
        <f>SUMPRODUCT(G25:H25,IF($D$4="従来",G$62:H$62,IF($D$4="省力",G$63:H$63)))/5/1000</f>
        <v>1.9708146691583783</v>
      </c>
      <c r="AE12" s="110">
        <f>SUM(AF12:AG12)</f>
        <v>1.6817914594869525</v>
      </c>
      <c r="AF12" s="110">
        <f>SUMPRODUCT(L47:R47,IF($D$4="従来",L$62:R$62,IF($D$4="省力",L$63:R$63)))/5/1000</f>
        <v>0.81614685362880002</v>
      </c>
      <c r="AG12" s="110">
        <f>V12/AK12</f>
        <v>0.86564460585815262</v>
      </c>
      <c r="AH12" s="110">
        <f>(U12+W12)/AJ12</f>
        <v>2.576571702154304</v>
      </c>
      <c r="AJ12" s="159">
        <v>10.963958786378322</v>
      </c>
      <c r="AK12" s="159">
        <v>6.5783752718269932</v>
      </c>
    </row>
    <row r="13" spans="1:37" ht="14.1" customHeight="1">
      <c r="B13" s="105" t="s">
        <v>478</v>
      </c>
      <c r="D13" s="163">
        <v>1.48</v>
      </c>
      <c r="E13" s="161"/>
      <c r="F13" s="164">
        <f>SUM(G13:H13)</f>
        <v>121.20252546245976</v>
      </c>
      <c r="G13" s="164">
        <f>F42/5</f>
        <v>89.502635977120136</v>
      </c>
      <c r="H13" s="164">
        <f>AG25*F$66</f>
        <v>31.699889485339625</v>
      </c>
      <c r="I13" s="162"/>
      <c r="J13" s="165">
        <f>SUM(K13:L13)</f>
        <v>223.35203272926617</v>
      </c>
      <c r="K13" s="165">
        <f>F48/5</f>
        <v>100.42549261280003</v>
      </c>
      <c r="L13" s="165">
        <f>F54/5</f>
        <v>122.92654011646614</v>
      </c>
      <c r="M13" s="162"/>
      <c r="N13" s="164">
        <f>SUM(O13:R13)</f>
        <v>51.436290014618066</v>
      </c>
      <c r="O13" s="50">
        <f>SUM($H42*($G$29+$H$29),$J42*($H$29+$J$29),$K42*($J$29+$K$29),$L42*($K$29+$L$29),$N42*($L$29+$N$29),$O42*($N$29+$O$29),$P42*($O$29+$P$29),$Q42*($P$29+$Q$29),$R42*($Q$29+$R$29),$T42*($R$29+$T$29),$U42*($T$29+$U$29),$V42*($U$29+$V$29),$W42*($V$29+$W$29),$Y42*($W$29+$Y$29),$Z42*($Y$29+$Z$29),$AA42*($Z$29+$AA$29),$AC42*($AA$29+$AC$29),$AD42*($AC$29+$AD$29),$AE42*($AD$29+$AE$29))/2/5/1000</f>
        <v>35.871354942673619</v>
      </c>
      <c r="P13" s="50">
        <f>SUM($H48*($G$29+$H$29),$J48*($H$29+$J$29),$K48*($J$29+$K$29),$L48*($K$29+$L$29),$N48*($L$29+$N$29),$O48*($N$29+$O$29),$P48*($O$29+$P$29),$Q48*($P$29+$Q$29),$R48*($Q$29+$R$29),$T48*($R$29+$T$29),$U48*($T$29+$U$29),$V48*($U$29+$V$29),$W48*($V$29+$W$29),$Y48*($W$29+$Y$29),$Z48*($Y$29+$Z$29),$AA48*($Z$29+$AA$29),$AC48*($AA$29+$AC$29),$AD48*($AC$29+$AD$29),$AE48*($AD$29+$AE$29))*F$64/2/5/1000</f>
        <v>4.0635688573109539</v>
      </c>
      <c r="Q13" s="50">
        <f>SUM($H54*($G$29+$H$29),$J54*($H$29+$J$29),$K54*($J$29+$K$29),$L54*($K$29+$L$29),$N54*($L$29+$N$29),$O54*($N$29+$O$29),$P54*($O$29+$P$29),$Q54*($P$29+$Q$29),$R54*($Q$29+$R$29),$T54*($R$29+$T$29),$U54*($T$29+$U$29),$V54*($U$29+$V$29),$W54*($V$29+$W$29),$Y54*($W$29+$Y$29),$Z54*($Y$29+$Z$29),$AA54*($Z$29+$AA$29),$AC54*($AA$29+$AC$29),$AD54*($AC$29+$AD$29),$AE54*($AD$29+$AE$29))*$F$65/2/5/1000</f>
        <v>7.3169808025686676</v>
      </c>
      <c r="R13" s="50">
        <f>H13*F$67/1000</f>
        <v>4.1843854120648301</v>
      </c>
      <c r="S13" s="161"/>
      <c r="T13" s="50">
        <f>SUM(U13:W13)</f>
        <v>33.950756491044054</v>
      </c>
      <c r="U13" s="50">
        <f>O13*L$67</f>
        <v>26.669129527495542</v>
      </c>
      <c r="V13" s="50">
        <f t="shared" si="0"/>
        <v>4.1706790574641399</v>
      </c>
      <c r="W13" s="50">
        <f t="shared" si="0"/>
        <v>3.1109479060843714</v>
      </c>
      <c r="X13" s="161"/>
      <c r="Y13" s="50">
        <f>SUM(Z13:AA13)</f>
        <v>49.825350241499706</v>
      </c>
      <c r="Z13" s="50">
        <f>G13*H$67</f>
        <v>43.752480451625466</v>
      </c>
      <c r="AA13" s="50">
        <f>H13*J$67</f>
        <v>6.0728697898742432</v>
      </c>
      <c r="AB13" s="161"/>
      <c r="AC13" s="50">
        <f>SUM(AD13:AE13,AH13)</f>
        <v>5.5392763008790817</v>
      </c>
      <c r="AD13" s="50">
        <f>SUMPRODUCT(G26:H26,IF($D$4="従来",G$62:H$62,IF($D$4="省力",G$63:H$63)))/5/1000</f>
        <v>2.0834441696778594</v>
      </c>
      <c r="AE13" s="50">
        <f>SUM(AF13:AG13)</f>
        <v>1.1425166524408605</v>
      </c>
      <c r="AF13" s="50">
        <f>SUMPRODUCT(L48:R48,IF($D$4="従来",L$62:R$62,IF($D$4="省力",L$63:R$63)))/5/1000</f>
        <v>0.60255295567680001</v>
      </c>
      <c r="AG13" s="50">
        <f>V13/AK13</f>
        <v>0.53996369676406064</v>
      </c>
      <c r="AH13" s="50">
        <f>(U13+W13)/AJ13</f>
        <v>2.3133154787603618</v>
      </c>
      <c r="AJ13" s="159">
        <v>12.873331677847151</v>
      </c>
      <c r="AK13" s="159">
        <v>7.7239990067082891</v>
      </c>
    </row>
    <row r="14" spans="1:37" ht="14.1" customHeight="1">
      <c r="E14" s="16"/>
      <c r="F14" s="137"/>
      <c r="G14" s="137"/>
      <c r="H14" s="137"/>
      <c r="I14" s="166"/>
      <c r="J14" s="137"/>
      <c r="K14" s="137"/>
      <c r="L14" s="137"/>
      <c r="M14" s="166"/>
      <c r="N14" s="137"/>
      <c r="S14" s="16"/>
      <c r="X14" s="16"/>
      <c r="AB14" s="16"/>
      <c r="AJ14" s="34"/>
      <c r="AK14" s="34"/>
    </row>
    <row r="15" spans="1:37" ht="14.1" customHeight="1">
      <c r="E15" s="16"/>
      <c r="F15" s="137" t="s">
        <v>479</v>
      </c>
      <c r="G15" s="137"/>
      <c r="H15" s="137"/>
      <c r="I15" s="166"/>
      <c r="J15" s="137"/>
      <c r="K15" s="137"/>
      <c r="L15" s="137"/>
      <c r="M15" s="166"/>
      <c r="N15" s="137"/>
      <c r="S15" s="16"/>
      <c r="X15" s="16"/>
      <c r="AB15" s="16"/>
      <c r="AJ15" s="34"/>
      <c r="AK15" s="34"/>
    </row>
    <row r="16" spans="1:37" ht="14.1" customHeight="1">
      <c r="B16" s="106" t="s">
        <v>552</v>
      </c>
      <c r="E16" s="16"/>
      <c r="F16" s="41">
        <f t="shared" ref="F16:H19" si="1">F10/F$10*100</f>
        <v>100</v>
      </c>
      <c r="G16" s="41">
        <f t="shared" si="1"/>
        <v>100</v>
      </c>
      <c r="H16" s="41">
        <f t="shared" si="1"/>
        <v>100</v>
      </c>
      <c r="I16" s="166"/>
      <c r="J16" s="41">
        <f t="shared" ref="J16:L19" si="2">J10/J$10*100</f>
        <v>100</v>
      </c>
      <c r="K16" s="41">
        <f t="shared" si="2"/>
        <v>100</v>
      </c>
      <c r="L16" s="41">
        <f t="shared" si="2"/>
        <v>100</v>
      </c>
      <c r="M16" s="166"/>
      <c r="N16" s="41">
        <f t="shared" ref="N16:R19" si="3">N10/N$10*100</f>
        <v>100</v>
      </c>
      <c r="O16" s="9">
        <f t="shared" si="3"/>
        <v>100</v>
      </c>
      <c r="P16" s="9">
        <f t="shared" si="3"/>
        <v>100</v>
      </c>
      <c r="Q16" s="9">
        <f t="shared" si="3"/>
        <v>100</v>
      </c>
      <c r="R16" s="9">
        <f t="shared" si="3"/>
        <v>100</v>
      </c>
      <c r="S16" s="16"/>
      <c r="T16" s="9">
        <f t="shared" ref="T16:W19" si="4">T10/T$10*100</f>
        <v>100</v>
      </c>
      <c r="U16" s="9">
        <f t="shared" si="4"/>
        <v>100</v>
      </c>
      <c r="V16" s="9">
        <f t="shared" si="4"/>
        <v>100</v>
      </c>
      <c r="W16" s="9">
        <f t="shared" si="4"/>
        <v>100</v>
      </c>
      <c r="X16" s="16"/>
      <c r="Y16" s="9">
        <f t="shared" ref="Y16:AA19" si="5">Y10/Y$10*100</f>
        <v>100</v>
      </c>
      <c r="Z16" s="9">
        <f t="shared" si="5"/>
        <v>100</v>
      </c>
      <c r="AA16" s="9">
        <f t="shared" si="5"/>
        <v>100</v>
      </c>
      <c r="AB16" s="16"/>
      <c r="AC16" s="9">
        <f t="shared" ref="AC16:AH19" si="6">AC10/AC$10*100</f>
        <v>100</v>
      </c>
      <c r="AD16" s="9">
        <f t="shared" si="6"/>
        <v>100</v>
      </c>
      <c r="AE16" s="9">
        <f t="shared" si="6"/>
        <v>100</v>
      </c>
      <c r="AF16" s="9">
        <f t="shared" si="6"/>
        <v>100</v>
      </c>
      <c r="AG16" s="9">
        <f t="shared" si="6"/>
        <v>100</v>
      </c>
      <c r="AH16" s="9">
        <f t="shared" si="6"/>
        <v>100</v>
      </c>
      <c r="AJ16" s="34"/>
      <c r="AK16" s="34"/>
    </row>
    <row r="17" spans="2:37" ht="14.1" customHeight="1">
      <c r="B17" s="106" t="s">
        <v>553</v>
      </c>
      <c r="E17" s="16"/>
      <c r="F17" s="41">
        <f t="shared" si="1"/>
        <v>140.7504579202344</v>
      </c>
      <c r="G17" s="41">
        <f t="shared" si="1"/>
        <v>173.09772772841987</v>
      </c>
      <c r="H17" s="41">
        <f t="shared" si="1"/>
        <v>100.89729392148863</v>
      </c>
      <c r="I17" s="166"/>
      <c r="J17" s="41">
        <f t="shared" si="2"/>
        <v>78.620818726953019</v>
      </c>
      <c r="K17" s="41">
        <f t="shared" si="2"/>
        <v>69.092358204364473</v>
      </c>
      <c r="L17" s="41">
        <f t="shared" si="2"/>
        <v>90.078888357969845</v>
      </c>
      <c r="M17" s="166"/>
      <c r="N17" s="41">
        <f t="shared" si="3"/>
        <v>118.33271115022998</v>
      </c>
      <c r="O17" s="9">
        <f t="shared" si="3"/>
        <v>181.85337859555875</v>
      </c>
      <c r="P17" s="9">
        <f t="shared" si="3"/>
        <v>73.072776072622958</v>
      </c>
      <c r="Q17" s="9">
        <f t="shared" si="3"/>
        <v>94.283852332964642</v>
      </c>
      <c r="R17" s="9">
        <f t="shared" si="3"/>
        <v>100.89729392148863</v>
      </c>
      <c r="S17" s="16"/>
      <c r="T17" s="9">
        <f t="shared" si="4"/>
        <v>138.81868163330833</v>
      </c>
      <c r="U17" s="9">
        <f t="shared" si="4"/>
        <v>181.85337859555878</v>
      </c>
      <c r="V17" s="9">
        <f t="shared" si="4"/>
        <v>94.283852332964656</v>
      </c>
      <c r="W17" s="9">
        <f t="shared" si="4"/>
        <v>100.89729392148863</v>
      </c>
      <c r="X17" s="16"/>
      <c r="Y17" s="9">
        <f t="shared" si="5"/>
        <v>155.67402953787445</v>
      </c>
      <c r="Z17" s="9">
        <f t="shared" si="5"/>
        <v>173.09772772841987</v>
      </c>
      <c r="AA17" s="9">
        <f t="shared" si="5"/>
        <v>100.89729392148863</v>
      </c>
      <c r="AB17" s="16"/>
      <c r="AC17" s="9">
        <f t="shared" si="6"/>
        <v>88.651150709602263</v>
      </c>
      <c r="AD17" s="9">
        <f t="shared" si="6"/>
        <v>81.383070861549982</v>
      </c>
      <c r="AE17" s="9">
        <f t="shared" si="6"/>
        <v>74.029510132562748</v>
      </c>
      <c r="AF17" s="9">
        <f t="shared" si="6"/>
        <v>69.092358204364459</v>
      </c>
      <c r="AG17" s="9">
        <f t="shared" si="6"/>
        <v>78.348326635887929</v>
      </c>
      <c r="AH17" s="9">
        <f t="shared" si="6"/>
        <v>116.28490594654907</v>
      </c>
      <c r="AJ17" s="34"/>
      <c r="AK17" s="34"/>
    </row>
    <row r="18" spans="2:37" ht="14.1" customHeight="1">
      <c r="B18" s="106" t="s">
        <v>477</v>
      </c>
      <c r="E18" s="16"/>
      <c r="F18" s="41">
        <f t="shared" si="1"/>
        <v>168.28523681819053</v>
      </c>
      <c r="G18" s="41">
        <f t="shared" si="1"/>
        <v>223.16811888722788</v>
      </c>
      <c r="H18" s="41">
        <f t="shared" si="1"/>
        <v>100.66727360858197</v>
      </c>
      <c r="I18" s="166"/>
      <c r="J18" s="41">
        <f t="shared" si="2"/>
        <v>59.098194829206797</v>
      </c>
      <c r="K18" s="41">
        <f t="shared" si="2"/>
        <v>48.223513259595556</v>
      </c>
      <c r="L18" s="41">
        <f t="shared" si="2"/>
        <v>72.175108811728123</v>
      </c>
      <c r="M18" s="166"/>
      <c r="N18" s="41">
        <f t="shared" si="3"/>
        <v>126.77518421969391</v>
      </c>
      <c r="O18" s="9">
        <f t="shared" si="3"/>
        <v>241.32957266827751</v>
      </c>
      <c r="P18" s="9">
        <f t="shared" si="3"/>
        <v>51.015697648617639</v>
      </c>
      <c r="Q18" s="9">
        <f t="shared" si="3"/>
        <v>76.688827601678383</v>
      </c>
      <c r="R18" s="9">
        <f t="shared" si="3"/>
        <v>100.66727360858197</v>
      </c>
      <c r="S18" s="16"/>
      <c r="T18" s="9">
        <f t="shared" si="4"/>
        <v>162.1273061335514</v>
      </c>
      <c r="U18" s="9">
        <f t="shared" si="4"/>
        <v>241.32957266827751</v>
      </c>
      <c r="V18" s="9">
        <f t="shared" si="4"/>
        <v>76.688827601678383</v>
      </c>
      <c r="W18" s="9">
        <f t="shared" si="4"/>
        <v>100.66727360858197</v>
      </c>
      <c r="X18" s="16"/>
      <c r="Y18" s="9">
        <f t="shared" si="5"/>
        <v>193.60572370925149</v>
      </c>
      <c r="Z18" s="9">
        <f t="shared" si="5"/>
        <v>223.16811888722791</v>
      </c>
      <c r="AA18" s="9">
        <f t="shared" si="5"/>
        <v>100.66727360858197</v>
      </c>
      <c r="AB18" s="16"/>
      <c r="AC18" s="9">
        <f t="shared" si="6"/>
        <v>78.484272662831529</v>
      </c>
      <c r="AD18" s="9">
        <f t="shared" si="6"/>
        <v>104.12842739364361</v>
      </c>
      <c r="AE18" s="9">
        <f t="shared" si="6"/>
        <v>46.366633719101991</v>
      </c>
      <c r="AF18" s="9">
        <f t="shared" si="6"/>
        <v>48.223513259595542</v>
      </c>
      <c r="AG18" s="9">
        <f t="shared" si="6"/>
        <v>44.742312223470613</v>
      </c>
      <c r="AH18" s="9">
        <f t="shared" si="6"/>
        <v>106.60149243021392</v>
      </c>
      <c r="AJ18" s="34"/>
      <c r="AK18" s="34"/>
    </row>
    <row r="19" spans="2:37" ht="14.1" customHeight="1">
      <c r="B19" s="106" t="s">
        <v>478</v>
      </c>
      <c r="C19" s="2"/>
      <c r="D19" s="2"/>
      <c r="E19" s="2"/>
      <c r="F19" s="41">
        <f t="shared" si="1"/>
        <v>172.04768759967911</v>
      </c>
      <c r="G19" s="41">
        <f t="shared" si="1"/>
        <v>230.17067821244916</v>
      </c>
      <c r="H19" s="41">
        <f t="shared" si="1"/>
        <v>100.43777768381588</v>
      </c>
      <c r="I19" s="136"/>
      <c r="J19" s="41">
        <f t="shared" si="2"/>
        <v>43.231719912978036</v>
      </c>
      <c r="K19" s="41">
        <f t="shared" si="2"/>
        <v>35.602931406881908</v>
      </c>
      <c r="L19" s="41">
        <f t="shared" si="2"/>
        <v>52.405414834201615</v>
      </c>
      <c r="M19" s="136"/>
      <c r="N19" s="41">
        <f t="shared" si="3"/>
        <v>121.50773490633088</v>
      </c>
      <c r="O19" s="9">
        <f t="shared" si="3"/>
        <v>256.0962541102071</v>
      </c>
      <c r="P19" s="9">
        <f t="shared" si="3"/>
        <v>36.505576844409461</v>
      </c>
      <c r="Q19" s="9">
        <f t="shared" si="3"/>
        <v>56.166918514615894</v>
      </c>
      <c r="R19" s="9">
        <f t="shared" si="3"/>
        <v>100.43777768381585</v>
      </c>
      <c r="S19" s="2"/>
      <c r="T19" s="9">
        <f t="shared" si="4"/>
        <v>162.15976348582299</v>
      </c>
      <c r="U19" s="9">
        <f t="shared" si="4"/>
        <v>256.0962541102071</v>
      </c>
      <c r="V19" s="9">
        <f t="shared" si="4"/>
        <v>56.166918514615894</v>
      </c>
      <c r="W19" s="9">
        <f t="shared" si="4"/>
        <v>100.43777768381588</v>
      </c>
      <c r="X19" s="2"/>
      <c r="Y19" s="9">
        <f t="shared" si="5"/>
        <v>198.86301446295576</v>
      </c>
      <c r="Z19" s="9">
        <f t="shared" si="5"/>
        <v>230.17067821244922</v>
      </c>
      <c r="AA19" s="9">
        <f t="shared" si="5"/>
        <v>100.43777768381588</v>
      </c>
      <c r="AB19" s="2"/>
      <c r="AC19" s="9">
        <f t="shared" si="6"/>
        <v>69.791886403273011</v>
      </c>
      <c r="AD19" s="9">
        <f t="shared" si="6"/>
        <v>110.07923187605262</v>
      </c>
      <c r="AE19" s="9">
        <f t="shared" si="6"/>
        <v>31.498941704615614</v>
      </c>
      <c r="AF19" s="9">
        <f t="shared" si="6"/>
        <v>35.602931406881901</v>
      </c>
      <c r="AG19" s="9">
        <f t="shared" si="6"/>
        <v>27.908941090214356</v>
      </c>
      <c r="AH19" s="10">
        <f t="shared" si="6"/>
        <v>95.709691405669645</v>
      </c>
      <c r="AJ19" s="34"/>
      <c r="AK19" s="34"/>
    </row>
    <row r="20" spans="2:37" ht="14.1" customHeight="1">
      <c r="B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  <c r="AJ20" s="34"/>
      <c r="AK20" s="34"/>
    </row>
    <row r="21" spans="2:37" ht="14.1" customHeight="1">
      <c r="B21" s="5"/>
      <c r="C21" s="2"/>
      <c r="D21" s="2"/>
      <c r="E21" s="2"/>
      <c r="F21" s="29" t="s">
        <v>506</v>
      </c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G21" s="8" t="s">
        <v>507</v>
      </c>
      <c r="AJ21" s="34"/>
      <c r="AK21" s="34"/>
    </row>
    <row r="22" spans="2:37" ht="14.1" customHeight="1">
      <c r="B22" s="5" t="s">
        <v>539</v>
      </c>
      <c r="C22" s="86"/>
      <c r="D22" s="86"/>
      <c r="E22" s="86"/>
      <c r="F22" s="5" t="s">
        <v>509</v>
      </c>
      <c r="G22" s="5" t="s">
        <v>373</v>
      </c>
      <c r="H22" s="5">
        <v>2</v>
      </c>
      <c r="I22" s="5"/>
      <c r="J22" s="5">
        <v>3</v>
      </c>
      <c r="K22" s="5">
        <v>4</v>
      </c>
      <c r="L22" s="5">
        <v>5</v>
      </c>
      <c r="M22" s="5"/>
      <c r="N22" s="5">
        <v>6</v>
      </c>
      <c r="O22" s="5">
        <v>7</v>
      </c>
      <c r="P22" s="5">
        <v>8</v>
      </c>
      <c r="Q22" s="5">
        <v>9</v>
      </c>
      <c r="R22" s="5">
        <v>10</v>
      </c>
      <c r="S22" s="5"/>
      <c r="T22" s="5">
        <v>11</v>
      </c>
      <c r="U22" s="5">
        <v>12</v>
      </c>
      <c r="V22" s="5">
        <v>13</v>
      </c>
      <c r="W22" s="5">
        <v>14</v>
      </c>
      <c r="X22" s="5"/>
      <c r="Y22" s="5">
        <v>15</v>
      </c>
      <c r="Z22" s="5">
        <v>16</v>
      </c>
      <c r="AA22" s="5">
        <v>17</v>
      </c>
      <c r="AB22" s="5"/>
      <c r="AC22" s="5">
        <v>18</v>
      </c>
      <c r="AD22" s="5">
        <v>19</v>
      </c>
      <c r="AE22" s="122" t="s">
        <v>510</v>
      </c>
      <c r="AG22" s="5" t="s">
        <v>511</v>
      </c>
      <c r="AJ22" s="34"/>
      <c r="AK22" s="34"/>
    </row>
    <row r="23" spans="2:37" ht="14.1" customHeight="1">
      <c r="B23" s="8">
        <v>2015</v>
      </c>
      <c r="F23" s="9">
        <f>SUM(G23:AE23)</f>
        <v>10342.3419624</v>
      </c>
      <c r="G23" s="9">
        <v>125.12</v>
      </c>
      <c r="H23" s="9">
        <v>152.846</v>
      </c>
      <c r="I23" s="9"/>
      <c r="J23" s="9">
        <v>155.81800000000001</v>
      </c>
      <c r="K23" s="9">
        <v>187.87464800000004</v>
      </c>
      <c r="L23" s="9">
        <v>275.09533120000003</v>
      </c>
      <c r="M23" s="9"/>
      <c r="N23" s="9">
        <v>441.60016720000004</v>
      </c>
      <c r="O23" s="9">
        <v>688.91927360000011</v>
      </c>
      <c r="P23" s="9">
        <v>952.68393360000005</v>
      </c>
      <c r="Q23" s="9">
        <v>1283.0745584000001</v>
      </c>
      <c r="R23" s="9">
        <v>1569.2706584000002</v>
      </c>
      <c r="S23" s="9"/>
      <c r="T23" s="9">
        <v>1543.0973488</v>
      </c>
      <c r="U23" s="9">
        <v>1229.1642455999997</v>
      </c>
      <c r="V23" s="9">
        <v>679.21071119999999</v>
      </c>
      <c r="W23" s="9">
        <v>281.75239600000003</v>
      </c>
      <c r="X23" s="9"/>
      <c r="Y23" s="9">
        <v>180.00878799999998</v>
      </c>
      <c r="Z23" s="9">
        <v>152.03903999999997</v>
      </c>
      <c r="AA23" s="9">
        <v>123.28037839999999</v>
      </c>
      <c r="AB23" s="9"/>
      <c r="AC23" s="9">
        <v>97.053370399999991</v>
      </c>
      <c r="AD23" s="9">
        <v>120.86067680000001</v>
      </c>
      <c r="AE23" s="9">
        <v>103.57243680000002</v>
      </c>
      <c r="AG23" s="9">
        <v>13380.111302381201</v>
      </c>
      <c r="AJ23" s="34"/>
      <c r="AK23" s="34"/>
    </row>
    <row r="24" spans="2:37" ht="14.1" customHeight="1">
      <c r="B24" s="8">
        <v>2020</v>
      </c>
      <c r="F24" s="9">
        <f>SUM(G24:AE24)</f>
        <v>10200.815327660026</v>
      </c>
      <c r="G24" s="9">
        <f>Y11*5</f>
        <v>195.0215093082341</v>
      </c>
      <c r="H24" s="9">
        <f>G23-H40</f>
        <v>125.12</v>
      </c>
      <c r="I24" s="9"/>
      <c r="J24" s="9">
        <f>H23-J40</f>
        <v>152.846</v>
      </c>
      <c r="K24" s="9">
        <f t="shared" ref="K24:L26" si="7">J23-K40</f>
        <v>155.81800000000001</v>
      </c>
      <c r="L24" s="9">
        <f t="shared" si="7"/>
        <v>187.87464800000004</v>
      </c>
      <c r="M24" s="9"/>
      <c r="N24" s="9">
        <f>L23-N40</f>
        <v>275.09533120000003</v>
      </c>
      <c r="O24" s="9">
        <f t="shared" ref="O24:R26" si="8">N23-O40</f>
        <v>441.60016720000004</v>
      </c>
      <c r="P24" s="9">
        <f t="shared" si="8"/>
        <v>688.91927360000011</v>
      </c>
      <c r="Q24" s="9">
        <f t="shared" si="8"/>
        <v>952.68393360000005</v>
      </c>
      <c r="R24" s="9">
        <f t="shared" si="8"/>
        <v>1238.8084861352002</v>
      </c>
      <c r="S24" s="9"/>
      <c r="T24" s="9">
        <f>R23-T40</f>
        <v>1515.1308206852002</v>
      </c>
      <c r="U24" s="9">
        <f t="shared" ref="U24:W26" si="9">T23-U40</f>
        <v>1472.8246955356481</v>
      </c>
      <c r="V24" s="9">
        <f t="shared" si="9"/>
        <v>1159.6181325839518</v>
      </c>
      <c r="W24" s="9">
        <f t="shared" si="9"/>
        <v>640.78096916030404</v>
      </c>
      <c r="X24" s="9"/>
      <c r="Y24" s="9">
        <f>W23-Y40</f>
        <v>265.81084543432002</v>
      </c>
      <c r="Z24" s="9">
        <f t="shared" ref="Z24:AA26" si="10">Y23-Z40</f>
        <v>169.82389077495998</v>
      </c>
      <c r="AA24" s="9">
        <f t="shared" si="10"/>
        <v>143.43667111679997</v>
      </c>
      <c r="AB24" s="9"/>
      <c r="AC24" s="9">
        <f>AA23-AC40</f>
        <v>116.30517459012799</v>
      </c>
      <c r="AD24" s="9">
        <f>AC23-AD40</f>
        <v>91.562090702767989</v>
      </c>
      <c r="AE24" s="9">
        <f>AD23+AE23-AE40</f>
        <v>211.734688032512</v>
      </c>
      <c r="AG24" s="9">
        <f>AG23-AA11*5</f>
        <v>13349.608032482856</v>
      </c>
      <c r="AJ24" s="34"/>
      <c r="AK24" s="34"/>
    </row>
    <row r="25" spans="2:37" ht="14.1" customHeight="1">
      <c r="B25" s="8">
        <v>2025</v>
      </c>
      <c r="F25" s="9">
        <f>SUM(G25:AE25)</f>
        <v>10009.457641405963</v>
      </c>
      <c r="G25" s="9">
        <f>Y12*5</f>
        <v>242.54065087526436</v>
      </c>
      <c r="H25" s="9">
        <f>G24-H41</f>
        <v>195.0215093082341</v>
      </c>
      <c r="I25" s="9"/>
      <c r="J25" s="9">
        <f>H24-J41</f>
        <v>125.12</v>
      </c>
      <c r="K25" s="9">
        <f t="shared" si="7"/>
        <v>152.846</v>
      </c>
      <c r="L25" s="9">
        <f t="shared" si="7"/>
        <v>155.81800000000001</v>
      </c>
      <c r="M25" s="9"/>
      <c r="N25" s="9">
        <f>L24-N41</f>
        <v>187.87464800000004</v>
      </c>
      <c r="O25" s="9">
        <f t="shared" si="8"/>
        <v>275.09533120000003</v>
      </c>
      <c r="P25" s="9">
        <f t="shared" si="8"/>
        <v>441.60016720000004</v>
      </c>
      <c r="Q25" s="9">
        <f t="shared" si="8"/>
        <v>688.91927360000011</v>
      </c>
      <c r="R25" s="9">
        <f t="shared" si="8"/>
        <v>915.76743117300009</v>
      </c>
      <c r="S25" s="9"/>
      <c r="T25" s="9">
        <f>R24-T41</f>
        <v>1190.8046572974611</v>
      </c>
      <c r="U25" s="9">
        <f t="shared" si="9"/>
        <v>1437.6318792071522</v>
      </c>
      <c r="V25" s="9">
        <f t="shared" si="9"/>
        <v>1379.2266861343576</v>
      </c>
      <c r="W25" s="9">
        <f t="shared" si="9"/>
        <v>1085.9244002582416</v>
      </c>
      <c r="X25" s="9"/>
      <c r="Y25" s="9">
        <f>W24-Y41</f>
        <v>600.05933857016669</v>
      </c>
      <c r="Z25" s="9">
        <f t="shared" si="10"/>
        <v>248.91856620696899</v>
      </c>
      <c r="AA25" s="9">
        <f t="shared" si="10"/>
        <v>159.03158251621127</v>
      </c>
      <c r="AB25" s="9"/>
      <c r="AC25" s="9">
        <f>AA24-AC41</f>
        <v>134.32127066732733</v>
      </c>
      <c r="AD25" s="9">
        <f>AC24-AD41</f>
        <v>108.91398074492535</v>
      </c>
      <c r="AE25" s="9">
        <f>AD24+AE24-AE41</f>
        <v>284.02226844665296</v>
      </c>
      <c r="AG25" s="9">
        <f>AG24-AA12*5</f>
        <v>13319.174302325509</v>
      </c>
      <c r="AJ25" s="34"/>
      <c r="AK25" s="34"/>
    </row>
    <row r="26" spans="2:37" ht="13.5" customHeight="1">
      <c r="B26" s="8">
        <v>2030</v>
      </c>
      <c r="F26" s="9">
        <f>SUM(G26:AE26)</f>
        <v>9811.0712127278621</v>
      </c>
      <c r="G26" s="9">
        <f>Y13*5</f>
        <v>249.12675120749853</v>
      </c>
      <c r="H26" s="9">
        <f>G25-H42</f>
        <v>242.54065087526436</v>
      </c>
      <c r="I26" s="9"/>
      <c r="J26" s="9">
        <f>H25-J42</f>
        <v>195.0215093082341</v>
      </c>
      <c r="K26" s="9">
        <f t="shared" si="7"/>
        <v>125.12</v>
      </c>
      <c r="L26" s="9">
        <f t="shared" si="7"/>
        <v>152.846</v>
      </c>
      <c r="M26" s="9"/>
      <c r="N26" s="9">
        <f>L25-N42</f>
        <v>155.81800000000001</v>
      </c>
      <c r="O26" s="9">
        <f t="shared" si="8"/>
        <v>187.87464800000004</v>
      </c>
      <c r="P26" s="9">
        <f t="shared" si="8"/>
        <v>275.09533120000003</v>
      </c>
      <c r="Q26" s="9">
        <f t="shared" si="8"/>
        <v>441.60016720000004</v>
      </c>
      <c r="R26" s="9">
        <f t="shared" si="8"/>
        <v>663.4292604768001</v>
      </c>
      <c r="S26" s="9"/>
      <c r="T26" s="9">
        <f>R25-T42</f>
        <v>881.88403621959912</v>
      </c>
      <c r="U26" s="9">
        <f t="shared" si="9"/>
        <v>1132.645757835053</v>
      </c>
      <c r="V26" s="9">
        <f t="shared" si="9"/>
        <v>1350.3963767768623</v>
      </c>
      <c r="W26" s="9">
        <f t="shared" si="9"/>
        <v>1295.5352108197249</v>
      </c>
      <c r="X26" s="9"/>
      <c r="Y26" s="9">
        <f>W25-Y42</f>
        <v>1020.0305076505715</v>
      </c>
      <c r="Z26" s="9">
        <f t="shared" si="10"/>
        <v>563.64773790572895</v>
      </c>
      <c r="AA26" s="9">
        <f t="shared" si="10"/>
        <v>233.81418760953011</v>
      </c>
      <c r="AB26" s="9"/>
      <c r="AC26" s="9">
        <f>AA25-AC42</f>
        <v>149.38154608912757</v>
      </c>
      <c r="AD26" s="9">
        <f>AC25-AD42</f>
        <v>126.1706559632339</v>
      </c>
      <c r="AE26" s="9">
        <f>AD25+AE25-AE42</f>
        <v>369.09287759063335</v>
      </c>
      <c r="AF26" s="16"/>
      <c r="AG26" s="9">
        <f>AG25-AA13*5</f>
        <v>13288.809953376138</v>
      </c>
      <c r="AJ26" s="34"/>
      <c r="AK26" s="34"/>
    </row>
    <row r="27" spans="2:37" ht="14.1" customHeight="1"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6"/>
      <c r="AG27" s="131"/>
      <c r="AJ27" s="34"/>
      <c r="AK27" s="34"/>
    </row>
    <row r="28" spans="2:37" ht="14.1" customHeight="1">
      <c r="B28" s="2" t="s">
        <v>676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J28" s="34"/>
      <c r="AK28" s="34"/>
    </row>
    <row r="29" spans="2:37" ht="14.1" customHeight="1">
      <c r="B29" s="2"/>
      <c r="C29" s="2"/>
      <c r="D29" s="2"/>
      <c r="E29" s="2"/>
      <c r="F29" s="10"/>
      <c r="G29" s="10">
        <v>2.5418159173657018</v>
      </c>
      <c r="H29" s="10">
        <v>19.218561545119258</v>
      </c>
      <c r="I29" s="10"/>
      <c r="J29" s="10">
        <v>59.444086449388855</v>
      </c>
      <c r="K29" s="10">
        <v>101.70554101675621</v>
      </c>
      <c r="L29" s="10">
        <v>142.42039829131841</v>
      </c>
      <c r="M29" s="10"/>
      <c r="N29" s="10">
        <v>184.11789616923113</v>
      </c>
      <c r="O29" s="10">
        <v>225.67870510384969</v>
      </c>
      <c r="P29" s="10">
        <v>265.8357076285314</v>
      </c>
      <c r="Q29" s="10">
        <v>300.60734949120643</v>
      </c>
      <c r="R29" s="10">
        <v>327.38597497518919</v>
      </c>
      <c r="S29" s="10"/>
      <c r="T29" s="10">
        <v>352.81287703595541</v>
      </c>
      <c r="U29" s="10">
        <v>377.04846730620136</v>
      </c>
      <c r="V29" s="10">
        <v>401.04600296498791</v>
      </c>
      <c r="W29" s="10">
        <v>427.85009027580855</v>
      </c>
      <c r="X29" s="10"/>
      <c r="Y29" s="10">
        <v>443.15125803055139</v>
      </c>
      <c r="Z29" s="10">
        <v>443.15125803055139</v>
      </c>
      <c r="AA29" s="10">
        <v>443.15125803055139</v>
      </c>
      <c r="AB29" s="10"/>
      <c r="AC29" s="10">
        <v>443.15125803055139</v>
      </c>
      <c r="AD29" s="10">
        <v>443.15125803055139</v>
      </c>
      <c r="AE29" s="10">
        <v>443.15125803055139</v>
      </c>
      <c r="AJ29" s="34"/>
      <c r="AK29" s="34"/>
    </row>
    <row r="30" spans="2:37" ht="14.1" customHeight="1">
      <c r="B30" s="16"/>
      <c r="C30" s="16"/>
      <c r="D30" s="16"/>
      <c r="E30" s="16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J30" s="34"/>
      <c r="AK30" s="34"/>
    </row>
    <row r="31" spans="2:37" ht="14.1" customHeight="1">
      <c r="B31" t="s">
        <v>697</v>
      </c>
      <c r="AJ31" s="34"/>
      <c r="AK31" s="34"/>
    </row>
    <row r="32" spans="2:37" ht="14.1" customHeight="1">
      <c r="B32" t="s">
        <v>698</v>
      </c>
      <c r="AJ32" s="34"/>
      <c r="AK32" s="34"/>
    </row>
    <row r="33" spans="1:37" ht="14.1" customHeight="1">
      <c r="AJ33" s="34"/>
      <c r="AK33" s="34"/>
    </row>
    <row r="34" spans="1:37">
      <c r="AJ34" s="34"/>
      <c r="AK34" s="34"/>
    </row>
    <row r="35" spans="1:37">
      <c r="AJ35" s="34"/>
      <c r="AK35" s="34"/>
    </row>
    <row r="36" spans="1:37" hidden="1">
      <c r="A36" s="153" t="s">
        <v>516</v>
      </c>
      <c r="B36" s="34" t="s">
        <v>517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</row>
    <row r="37" spans="1:37" hidden="1">
      <c r="A37" s="34"/>
      <c r="B37" s="156"/>
      <c r="C37" s="156"/>
      <c r="D37" s="156"/>
      <c r="E37" s="156"/>
      <c r="F37" s="156" t="s">
        <v>518</v>
      </c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34"/>
      <c r="AG37" s="34"/>
      <c r="AH37" s="34"/>
      <c r="AI37" s="34"/>
      <c r="AJ37" s="34"/>
      <c r="AK37" s="34"/>
    </row>
    <row r="38" spans="1:37" ht="14.1" hidden="1" customHeight="1">
      <c r="A38" s="34"/>
      <c r="B38" s="167" t="s">
        <v>554</v>
      </c>
      <c r="C38" s="168"/>
      <c r="D38" s="168"/>
      <c r="E38" s="156"/>
      <c r="F38" s="169" t="s">
        <v>372</v>
      </c>
      <c r="G38" s="169" t="s">
        <v>373</v>
      </c>
      <c r="H38" s="169">
        <v>2</v>
      </c>
      <c r="I38" s="169"/>
      <c r="J38" s="169">
        <v>3</v>
      </c>
      <c r="K38" s="169">
        <v>4</v>
      </c>
      <c r="L38" s="169">
        <v>5</v>
      </c>
      <c r="M38" s="169"/>
      <c r="N38" s="169">
        <v>6</v>
      </c>
      <c r="O38" s="169">
        <v>7</v>
      </c>
      <c r="P38" s="169">
        <v>8</v>
      </c>
      <c r="Q38" s="169">
        <v>9</v>
      </c>
      <c r="R38" s="169">
        <v>10</v>
      </c>
      <c r="S38" s="169"/>
      <c r="T38" s="169">
        <v>11</v>
      </c>
      <c r="U38" s="169">
        <v>12</v>
      </c>
      <c r="V38" s="169">
        <v>13</v>
      </c>
      <c r="W38" s="169">
        <v>14</v>
      </c>
      <c r="X38" s="169"/>
      <c r="Y38" s="169">
        <v>15</v>
      </c>
      <c r="Z38" s="169">
        <v>16</v>
      </c>
      <c r="AA38" s="169">
        <v>17</v>
      </c>
      <c r="AB38" s="169"/>
      <c r="AC38" s="169">
        <v>18</v>
      </c>
      <c r="AD38" s="169">
        <v>19</v>
      </c>
      <c r="AE38" s="169" t="s">
        <v>510</v>
      </c>
      <c r="AF38" s="34"/>
      <c r="AG38" s="34"/>
      <c r="AH38" s="34"/>
      <c r="AI38" s="34"/>
      <c r="AJ38" s="34"/>
      <c r="AK38" s="34"/>
    </row>
    <row r="39" spans="1:37" ht="14.1" hidden="1" customHeight="1">
      <c r="A39" s="34"/>
      <c r="B39" s="170" t="s">
        <v>520</v>
      </c>
      <c r="C39" s="34"/>
      <c r="D39" s="34"/>
      <c r="E39" s="34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4"/>
      <c r="AG39" s="34"/>
      <c r="AH39" s="34"/>
      <c r="AI39" s="34"/>
      <c r="AJ39" s="34"/>
      <c r="AK39" s="34"/>
    </row>
    <row r="40" spans="1:37" ht="14.1" hidden="1" customHeight="1">
      <c r="A40" s="34"/>
      <c r="B40" s="171" t="s">
        <v>476</v>
      </c>
      <c r="C40" s="34"/>
      <c r="D40" s="34"/>
      <c r="E40" s="34"/>
      <c r="F40" s="172">
        <f>SUM(G40:AE40)</f>
        <v>336.54814404820803</v>
      </c>
      <c r="G40" s="172">
        <f t="shared" ref="G40:H42" si="11">F23*G$59*$D11*5</f>
        <v>0</v>
      </c>
      <c r="H40" s="172">
        <f t="shared" si="11"/>
        <v>0</v>
      </c>
      <c r="I40" s="172"/>
      <c r="J40" s="172">
        <f>H23*J$59*$D11*5</f>
        <v>0</v>
      </c>
      <c r="K40" s="172">
        <f t="shared" ref="K40:L42" si="12">J23*K$59*$D11*5</f>
        <v>0</v>
      </c>
      <c r="L40" s="172">
        <f t="shared" si="12"/>
        <v>0</v>
      </c>
      <c r="M40" s="172"/>
      <c r="N40" s="172">
        <f>L23*N$59*$D11*5</f>
        <v>0</v>
      </c>
      <c r="O40" s="172">
        <f t="shared" ref="O40:R42" si="13">N23*O$59*$D11*5</f>
        <v>0</v>
      </c>
      <c r="P40" s="172">
        <f t="shared" si="13"/>
        <v>0</v>
      </c>
      <c r="Q40" s="172">
        <f t="shared" si="13"/>
        <v>0</v>
      </c>
      <c r="R40" s="172">
        <f t="shared" si="13"/>
        <v>44.266072264800002</v>
      </c>
      <c r="S40" s="172"/>
      <c r="T40" s="172">
        <f>R23*T$59*$D11*5</f>
        <v>54.139837714800009</v>
      </c>
      <c r="U40" s="172">
        <f t="shared" ref="U40:W42" si="14">T23*U$59*$D11*5</f>
        <v>70.272653264351987</v>
      </c>
      <c r="V40" s="172">
        <f t="shared" si="14"/>
        <v>69.546113016047983</v>
      </c>
      <c r="W40" s="172">
        <f t="shared" si="14"/>
        <v>38.429742039695995</v>
      </c>
      <c r="X40" s="172"/>
      <c r="Y40" s="172">
        <f>W23*Y$59*$D11*5</f>
        <v>15.94155056568</v>
      </c>
      <c r="Z40" s="172">
        <f t="shared" ref="Z40:AA42" si="15">Y23*Z$59*$D11*5</f>
        <v>10.18489722504</v>
      </c>
      <c r="AA40" s="172">
        <f t="shared" si="15"/>
        <v>8.6023688831999969</v>
      </c>
      <c r="AB40" s="172"/>
      <c r="AC40" s="172">
        <f>AA23*AC$59*$D11*5</f>
        <v>6.9752038098720002</v>
      </c>
      <c r="AD40" s="172">
        <f>AC23*AD$59*$D11*5</f>
        <v>5.4912796972319997</v>
      </c>
      <c r="AE40" s="172">
        <f>(AD23+AE23)*AE$59*$D11*5</f>
        <v>12.698425567488002</v>
      </c>
      <c r="AF40" s="34"/>
      <c r="AG40" s="34"/>
      <c r="AH40" s="34"/>
      <c r="AI40" s="34"/>
      <c r="AJ40" s="34"/>
      <c r="AK40" s="34"/>
    </row>
    <row r="41" spans="1:37" ht="14.1" hidden="1" customHeight="1">
      <c r="A41" s="34"/>
      <c r="B41" s="171" t="s">
        <v>477</v>
      </c>
      <c r="C41" s="34"/>
      <c r="D41" s="34"/>
      <c r="E41" s="34"/>
      <c r="F41" s="172">
        <f>SUM(G41:AE41)</f>
        <v>433.89833712932705</v>
      </c>
      <c r="G41" s="172">
        <f t="shared" si="11"/>
        <v>0</v>
      </c>
      <c r="H41" s="172">
        <f t="shared" si="11"/>
        <v>0</v>
      </c>
      <c r="I41" s="172"/>
      <c r="J41" s="172">
        <f>H24*J$59*$D12*5</f>
        <v>0</v>
      </c>
      <c r="K41" s="172">
        <f t="shared" si="12"/>
        <v>0</v>
      </c>
      <c r="L41" s="172">
        <f t="shared" si="12"/>
        <v>0</v>
      </c>
      <c r="M41" s="172"/>
      <c r="N41" s="172">
        <f>L24*N$59*$D12*5</f>
        <v>0</v>
      </c>
      <c r="O41" s="172">
        <f t="shared" si="13"/>
        <v>0</v>
      </c>
      <c r="P41" s="172">
        <f t="shared" si="13"/>
        <v>0</v>
      </c>
      <c r="Q41" s="172">
        <f t="shared" si="13"/>
        <v>0</v>
      </c>
      <c r="R41" s="172">
        <f t="shared" si="13"/>
        <v>36.916502427000005</v>
      </c>
      <c r="S41" s="172"/>
      <c r="T41" s="172">
        <f>R24*T$59*$D12*5</f>
        <v>48.003828837739007</v>
      </c>
      <c r="U41" s="172">
        <f t="shared" si="14"/>
        <v>77.498941478047996</v>
      </c>
      <c r="V41" s="172">
        <f t="shared" si="14"/>
        <v>93.598009401290454</v>
      </c>
      <c r="W41" s="172">
        <f t="shared" si="14"/>
        <v>73.693732325710144</v>
      </c>
      <c r="X41" s="172"/>
      <c r="Y41" s="172">
        <f>W24*Y$59*$D12*5</f>
        <v>40.721630590137323</v>
      </c>
      <c r="Z41" s="172">
        <f t="shared" si="15"/>
        <v>16.89227922735104</v>
      </c>
      <c r="AA41" s="172">
        <f t="shared" si="15"/>
        <v>10.792308258748708</v>
      </c>
      <c r="AB41" s="172"/>
      <c r="AC41" s="172">
        <f>AA24*AC$59*$D12*5</f>
        <v>9.1154004494726379</v>
      </c>
      <c r="AD41" s="172">
        <f>AC24*AD$59*$D12*5</f>
        <v>7.3911938452026336</v>
      </c>
      <c r="AE41" s="172">
        <f>(AD24+AE24)*AE$59*$D12*5</f>
        <v>19.274510288627045</v>
      </c>
      <c r="AF41" s="34"/>
      <c r="AG41" s="34"/>
      <c r="AH41" s="34"/>
      <c r="AI41" s="34"/>
      <c r="AJ41" s="34"/>
      <c r="AK41" s="34"/>
    </row>
    <row r="42" spans="1:37" ht="14.1" hidden="1" customHeight="1">
      <c r="A42" s="34"/>
      <c r="B42" s="171" t="s">
        <v>478</v>
      </c>
      <c r="C42" s="34"/>
      <c r="D42" s="34"/>
      <c r="E42" s="34"/>
      <c r="F42" s="172">
        <f>SUM(G42:AE42)</f>
        <v>447.51317988560066</v>
      </c>
      <c r="G42" s="172">
        <f t="shared" si="11"/>
        <v>0</v>
      </c>
      <c r="H42" s="172">
        <f t="shared" si="11"/>
        <v>0</v>
      </c>
      <c r="I42" s="172"/>
      <c r="J42" s="172">
        <f>H25*J$59*$D13*5</f>
        <v>0</v>
      </c>
      <c r="K42" s="172">
        <f t="shared" si="12"/>
        <v>0</v>
      </c>
      <c r="L42" s="172">
        <f t="shared" si="12"/>
        <v>0</v>
      </c>
      <c r="M42" s="172"/>
      <c r="N42" s="172">
        <f>L25*N$59*$D13*5</f>
        <v>0</v>
      </c>
      <c r="O42" s="172">
        <f t="shared" si="13"/>
        <v>0</v>
      </c>
      <c r="P42" s="172">
        <f t="shared" si="13"/>
        <v>0</v>
      </c>
      <c r="Q42" s="172">
        <f t="shared" si="13"/>
        <v>0</v>
      </c>
      <c r="R42" s="172">
        <f t="shared" si="13"/>
        <v>25.490013123200001</v>
      </c>
      <c r="S42" s="172"/>
      <c r="T42" s="172">
        <f>R25*T$59*$D13*5</f>
        <v>33.883394953401009</v>
      </c>
      <c r="U42" s="172">
        <f t="shared" si="14"/>
        <v>58.158899462408002</v>
      </c>
      <c r="V42" s="172">
        <f t="shared" si="14"/>
        <v>87.235502430290012</v>
      </c>
      <c r="W42" s="172">
        <f t="shared" si="14"/>
        <v>83.691475314632825</v>
      </c>
      <c r="X42" s="172"/>
      <c r="Y42" s="172">
        <f>W25*Y$59*$D13*5</f>
        <v>65.893892607670097</v>
      </c>
      <c r="Z42" s="172">
        <f t="shared" si="15"/>
        <v>36.411600664437721</v>
      </c>
      <c r="AA42" s="172">
        <f t="shared" si="15"/>
        <v>15.104378597438879</v>
      </c>
      <c r="AB42" s="172"/>
      <c r="AC42" s="172">
        <f>AA25*AC$59*$D13*5</f>
        <v>9.6500364270837</v>
      </c>
      <c r="AD42" s="172">
        <f>AC25*AD$59*$D13*5</f>
        <v>8.1506147040934227</v>
      </c>
      <c r="AE42" s="172">
        <f>(AD25+AE25)*AE$59*$D13*5</f>
        <v>23.843371600944977</v>
      </c>
      <c r="AF42" s="34"/>
      <c r="AG42" s="34"/>
      <c r="AH42" s="34"/>
      <c r="AI42" s="34"/>
      <c r="AJ42" s="34"/>
      <c r="AK42" s="34"/>
    </row>
    <row r="43" spans="1:37" ht="14.1" hidden="1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</row>
    <row r="44" spans="1:37" ht="14.1" hidden="1" customHeight="1">
      <c r="A44" s="34"/>
      <c r="B44" s="156"/>
      <c r="C44" s="156"/>
      <c r="D44" s="156"/>
      <c r="E44" s="156"/>
      <c r="F44" s="156" t="s">
        <v>521</v>
      </c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56"/>
      <c r="U44" s="156"/>
      <c r="V44" s="156"/>
      <c r="W44" s="156"/>
      <c r="X44" s="156"/>
      <c r="Y44" s="156"/>
      <c r="Z44" s="156"/>
      <c r="AA44" s="156"/>
      <c r="AB44" s="156"/>
      <c r="AC44" s="156"/>
      <c r="AD44" s="156"/>
      <c r="AE44" s="156"/>
      <c r="AF44" s="34"/>
      <c r="AG44" s="34"/>
      <c r="AH44" s="34"/>
      <c r="AI44" s="34"/>
      <c r="AJ44" s="34"/>
      <c r="AK44" s="34"/>
    </row>
    <row r="45" spans="1:37" ht="14.1" hidden="1" customHeight="1">
      <c r="A45" s="34"/>
      <c r="B45" s="170" t="s">
        <v>520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</row>
    <row r="46" spans="1:37" ht="14.1" hidden="1" customHeight="1">
      <c r="A46" s="34"/>
      <c r="B46" s="171" t="s">
        <v>476</v>
      </c>
      <c r="C46" s="34"/>
      <c r="D46" s="34"/>
      <c r="E46" s="34"/>
      <c r="F46" s="172">
        <f>SUM(G46:AE46)</f>
        <v>974.44702363920032</v>
      </c>
      <c r="G46" s="172">
        <f t="shared" ref="G46:H48" si="16">F23*G$60*5</f>
        <v>0</v>
      </c>
      <c r="H46" s="172">
        <f t="shared" si="16"/>
        <v>0</v>
      </c>
      <c r="I46" s="172"/>
      <c r="J46" s="172">
        <f>H23*J$60*5</f>
        <v>0</v>
      </c>
      <c r="K46" s="172">
        <f t="shared" ref="K46:L48" si="17">J23*K$60*5</f>
        <v>0</v>
      </c>
      <c r="L46" s="172">
        <f t="shared" si="17"/>
        <v>102.76743245600002</v>
      </c>
      <c r="M46" s="172"/>
      <c r="N46" s="172">
        <f>L23*N$60*5</f>
        <v>150.47714616640005</v>
      </c>
      <c r="O46" s="172">
        <f t="shared" ref="O46:R48" si="18">N23*O$60*5</f>
        <v>241.55529145840006</v>
      </c>
      <c r="P46" s="172">
        <f t="shared" si="18"/>
        <v>112.98276087040003</v>
      </c>
      <c r="Q46" s="172">
        <f t="shared" si="18"/>
        <v>156.24016511040003</v>
      </c>
      <c r="R46" s="172">
        <f t="shared" si="18"/>
        <v>210.42422757760005</v>
      </c>
      <c r="S46" s="172"/>
      <c r="T46" s="172">
        <f>R23*T$60*5</f>
        <v>0</v>
      </c>
      <c r="U46" s="172">
        <f t="shared" ref="U46:W48" si="19">T23*U$60*5</f>
        <v>0</v>
      </c>
      <c r="V46" s="172">
        <f t="shared" si="19"/>
        <v>0</v>
      </c>
      <c r="W46" s="172">
        <f t="shared" si="19"/>
        <v>0</v>
      </c>
      <c r="X46" s="172"/>
      <c r="Y46" s="172">
        <f>W23*Y$60*5</f>
        <v>0</v>
      </c>
      <c r="Z46" s="172">
        <f t="shared" ref="Z46:AA48" si="20">Y23*Z$60*5</f>
        <v>0</v>
      </c>
      <c r="AA46" s="172">
        <f t="shared" si="20"/>
        <v>0</v>
      </c>
      <c r="AB46" s="172"/>
      <c r="AC46" s="172">
        <f>AA23*AC$60*5</f>
        <v>0</v>
      </c>
      <c r="AD46" s="172">
        <f t="shared" ref="AD46:AE48" si="21">AC23*AD$60*5</f>
        <v>0</v>
      </c>
      <c r="AE46" s="172">
        <f t="shared" si="21"/>
        <v>0</v>
      </c>
      <c r="AF46" s="34"/>
      <c r="AG46" s="34"/>
      <c r="AH46" s="34"/>
      <c r="AI46" s="34"/>
      <c r="AJ46" s="34"/>
      <c r="AK46" s="34"/>
    </row>
    <row r="47" spans="1:37" ht="14.1" hidden="1" customHeight="1">
      <c r="A47" s="34"/>
      <c r="B47" s="171" t="s">
        <v>477</v>
      </c>
      <c r="C47" s="34"/>
      <c r="D47" s="34"/>
      <c r="E47" s="34"/>
      <c r="F47" s="172">
        <f>SUM(G47:AE47)</f>
        <v>680.12237802400023</v>
      </c>
      <c r="G47" s="172">
        <f t="shared" si="16"/>
        <v>0</v>
      </c>
      <c r="H47" s="172">
        <f t="shared" si="16"/>
        <v>0</v>
      </c>
      <c r="I47" s="172"/>
      <c r="J47" s="172">
        <f>H24*J$60*5</f>
        <v>0</v>
      </c>
      <c r="K47" s="172">
        <f t="shared" si="17"/>
        <v>0</v>
      </c>
      <c r="L47" s="172">
        <f t="shared" si="17"/>
        <v>85.23244600000001</v>
      </c>
      <c r="M47" s="172"/>
      <c r="N47" s="172">
        <f>L24*N$60*5</f>
        <v>102.76743245600002</v>
      </c>
      <c r="O47" s="172">
        <f t="shared" si="18"/>
        <v>150.47714616640005</v>
      </c>
      <c r="P47" s="172">
        <f t="shared" si="18"/>
        <v>72.422427420800005</v>
      </c>
      <c r="Q47" s="172">
        <f t="shared" si="18"/>
        <v>112.98276087040003</v>
      </c>
      <c r="R47" s="172">
        <f t="shared" si="18"/>
        <v>156.24016511040003</v>
      </c>
      <c r="S47" s="172"/>
      <c r="T47" s="172">
        <f>R24*T$60*5</f>
        <v>0</v>
      </c>
      <c r="U47" s="172">
        <f t="shared" si="19"/>
        <v>0</v>
      </c>
      <c r="V47" s="172">
        <f t="shared" si="19"/>
        <v>0</v>
      </c>
      <c r="W47" s="172">
        <f t="shared" si="19"/>
        <v>0</v>
      </c>
      <c r="X47" s="172"/>
      <c r="Y47" s="172">
        <f>W24*Y$60*5</f>
        <v>0</v>
      </c>
      <c r="Z47" s="172">
        <f t="shared" si="20"/>
        <v>0</v>
      </c>
      <c r="AA47" s="172">
        <f t="shared" si="20"/>
        <v>0</v>
      </c>
      <c r="AB47" s="172"/>
      <c r="AC47" s="172">
        <f>AA24*AC$60*5</f>
        <v>0</v>
      </c>
      <c r="AD47" s="172">
        <f t="shared" si="21"/>
        <v>0</v>
      </c>
      <c r="AE47" s="172">
        <f t="shared" si="21"/>
        <v>0</v>
      </c>
      <c r="AF47" s="34"/>
      <c r="AG47" s="34"/>
      <c r="AH47" s="34"/>
      <c r="AI47" s="34"/>
      <c r="AJ47" s="34"/>
      <c r="AK47" s="34"/>
    </row>
    <row r="48" spans="1:37" ht="14.1" hidden="1" customHeight="1">
      <c r="A48" s="34"/>
      <c r="B48" s="171" t="s">
        <v>478</v>
      </c>
      <c r="C48" s="34"/>
      <c r="D48" s="34"/>
      <c r="E48" s="34"/>
      <c r="F48" s="172">
        <f>SUM(G48:AE48)</f>
        <v>502.12746306400015</v>
      </c>
      <c r="G48" s="172">
        <f t="shared" si="16"/>
        <v>0</v>
      </c>
      <c r="H48" s="172">
        <f t="shared" si="16"/>
        <v>0</v>
      </c>
      <c r="I48" s="172"/>
      <c r="J48" s="172">
        <f>H25*J$60*5</f>
        <v>0</v>
      </c>
      <c r="K48" s="172">
        <f t="shared" si="17"/>
        <v>0</v>
      </c>
      <c r="L48" s="172">
        <f t="shared" si="17"/>
        <v>83.606762000000003</v>
      </c>
      <c r="M48" s="172"/>
      <c r="N48" s="172">
        <f>L25*N$60*5</f>
        <v>85.23244600000001</v>
      </c>
      <c r="O48" s="172">
        <f t="shared" si="18"/>
        <v>102.76743245600002</v>
      </c>
      <c r="P48" s="172">
        <f t="shared" si="18"/>
        <v>45.115634316800012</v>
      </c>
      <c r="Q48" s="172">
        <f t="shared" si="18"/>
        <v>72.422427420800005</v>
      </c>
      <c r="R48" s="172">
        <f t="shared" si="18"/>
        <v>112.98276087040003</v>
      </c>
      <c r="S48" s="172"/>
      <c r="T48" s="172">
        <f>R25*T$60*5</f>
        <v>0</v>
      </c>
      <c r="U48" s="172">
        <f t="shared" si="19"/>
        <v>0</v>
      </c>
      <c r="V48" s="172">
        <f t="shared" si="19"/>
        <v>0</v>
      </c>
      <c r="W48" s="172">
        <f t="shared" si="19"/>
        <v>0</v>
      </c>
      <c r="X48" s="172"/>
      <c r="Y48" s="172">
        <f>W25*Y$60*5</f>
        <v>0</v>
      </c>
      <c r="Z48" s="172">
        <f t="shared" si="20"/>
        <v>0</v>
      </c>
      <c r="AA48" s="172">
        <f t="shared" si="20"/>
        <v>0</v>
      </c>
      <c r="AB48" s="172"/>
      <c r="AC48" s="172">
        <f>AA25*AC$60*5</f>
        <v>0</v>
      </c>
      <c r="AD48" s="172">
        <f t="shared" si="21"/>
        <v>0</v>
      </c>
      <c r="AE48" s="172">
        <f t="shared" si="21"/>
        <v>0</v>
      </c>
      <c r="AF48" s="34"/>
      <c r="AG48" s="34"/>
      <c r="AH48" s="34"/>
      <c r="AI48" s="34"/>
      <c r="AJ48" s="34"/>
      <c r="AK48" s="34"/>
    </row>
    <row r="49" spans="1:37" ht="14.1" hidden="1" customHeight="1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</row>
    <row r="50" spans="1:37" hidden="1">
      <c r="A50" s="34"/>
      <c r="B50" s="156"/>
      <c r="C50" s="156"/>
      <c r="D50" s="156"/>
      <c r="E50" s="156"/>
      <c r="F50" s="156" t="s">
        <v>522</v>
      </c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156"/>
      <c r="Y50" s="156"/>
      <c r="Z50" s="156"/>
      <c r="AA50" s="156"/>
      <c r="AB50" s="156"/>
      <c r="AC50" s="156"/>
      <c r="AD50" s="156"/>
      <c r="AE50" s="156"/>
      <c r="AF50" s="34"/>
      <c r="AG50" s="34"/>
      <c r="AH50" s="34"/>
      <c r="AI50" s="34"/>
      <c r="AJ50" s="34"/>
      <c r="AK50" s="34"/>
    </row>
    <row r="51" spans="1:37" hidden="1">
      <c r="A51" s="34"/>
      <c r="B51" s="170" t="s">
        <v>520</v>
      </c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</row>
    <row r="52" spans="1:37" hidden="1">
      <c r="A52" s="34"/>
      <c r="B52" s="171" t="s">
        <v>476</v>
      </c>
      <c r="C52" s="34"/>
      <c r="D52" s="34"/>
      <c r="E52" s="34"/>
      <c r="F52" s="172">
        <f>SUM(G52:AE52)</f>
        <v>1056.4830102400001</v>
      </c>
      <c r="G52" s="172">
        <f t="shared" ref="G52:H54" si="22">F23*G$61*5</f>
        <v>0</v>
      </c>
      <c r="H52" s="172">
        <f t="shared" si="22"/>
        <v>0</v>
      </c>
      <c r="I52" s="172"/>
      <c r="J52" s="172">
        <f>H23*J$61*5</f>
        <v>0</v>
      </c>
      <c r="K52" s="172">
        <f t="shared" ref="K52:L54" si="23">J23*K$61*5</f>
        <v>0</v>
      </c>
      <c r="L52" s="172">
        <f t="shared" si="23"/>
        <v>0</v>
      </c>
      <c r="M52" s="172"/>
      <c r="N52" s="172">
        <f>L23*N$61*5</f>
        <v>0</v>
      </c>
      <c r="O52" s="172">
        <f t="shared" ref="O52:R54" si="24">N23*O$61*5</f>
        <v>0</v>
      </c>
      <c r="P52" s="172">
        <f t="shared" si="24"/>
        <v>120.56087288000001</v>
      </c>
      <c r="Q52" s="172">
        <f t="shared" si="24"/>
        <v>166.71968837999998</v>
      </c>
      <c r="R52" s="172">
        <f t="shared" si="24"/>
        <v>224.53804771999998</v>
      </c>
      <c r="S52" s="172"/>
      <c r="T52" s="172">
        <f>R23*T$61*5</f>
        <v>274.62236522000001</v>
      </c>
      <c r="U52" s="172">
        <f t="shared" ref="U52:W54" si="25">T23*U$61*5</f>
        <v>270.04203603999997</v>
      </c>
      <c r="V52" s="172">
        <f t="shared" si="25"/>
        <v>0</v>
      </c>
      <c r="W52" s="172">
        <f t="shared" si="25"/>
        <v>0</v>
      </c>
      <c r="X52" s="172"/>
      <c r="Y52" s="172">
        <f>W23*Y$61*5</f>
        <v>0</v>
      </c>
      <c r="Z52" s="172">
        <f t="shared" ref="Z52:AA54" si="26">Y23*Z$61*5</f>
        <v>0</v>
      </c>
      <c r="AA52" s="172">
        <f t="shared" si="26"/>
        <v>0</v>
      </c>
      <c r="AB52" s="172"/>
      <c r="AC52" s="172">
        <f>AA23*AC$61*5</f>
        <v>0</v>
      </c>
      <c r="AD52" s="172">
        <f t="shared" ref="AD52:AE54" si="27">AC23*AD$61*5</f>
        <v>0</v>
      </c>
      <c r="AE52" s="172">
        <f t="shared" si="27"/>
        <v>0</v>
      </c>
      <c r="AF52" s="34"/>
      <c r="AG52" s="34"/>
      <c r="AH52" s="34"/>
      <c r="AI52" s="34"/>
      <c r="AJ52" s="34"/>
      <c r="AK52" s="34"/>
    </row>
    <row r="53" spans="1:37" hidden="1">
      <c r="A53" s="34"/>
      <c r="B53" s="171" t="s">
        <v>477</v>
      </c>
      <c r="C53" s="34"/>
      <c r="D53" s="34"/>
      <c r="E53" s="34"/>
      <c r="F53" s="172">
        <f>SUM(G53:AE53)</f>
        <v>846.49996921357001</v>
      </c>
      <c r="G53" s="172">
        <f t="shared" si="22"/>
        <v>0</v>
      </c>
      <c r="H53" s="172">
        <f t="shared" si="22"/>
        <v>0</v>
      </c>
      <c r="I53" s="172"/>
      <c r="J53" s="172">
        <f>H24*J$61*5</f>
        <v>0</v>
      </c>
      <c r="K53" s="172">
        <f t="shared" si="23"/>
        <v>0</v>
      </c>
      <c r="L53" s="172">
        <f t="shared" si="23"/>
        <v>0</v>
      </c>
      <c r="M53" s="172"/>
      <c r="N53" s="172">
        <f>L24*N$61*5</f>
        <v>0</v>
      </c>
      <c r="O53" s="172">
        <f t="shared" si="24"/>
        <v>0</v>
      </c>
      <c r="P53" s="172">
        <f t="shared" si="24"/>
        <v>77.280029260000006</v>
      </c>
      <c r="Q53" s="172">
        <f t="shared" si="24"/>
        <v>120.56087288000001</v>
      </c>
      <c r="R53" s="172">
        <f t="shared" si="24"/>
        <v>166.71968837999998</v>
      </c>
      <c r="S53" s="172"/>
      <c r="T53" s="172">
        <f>R24*T$61*5</f>
        <v>216.79148507366</v>
      </c>
      <c r="U53" s="172">
        <f t="shared" si="25"/>
        <v>265.14789361991001</v>
      </c>
      <c r="V53" s="172">
        <f t="shared" si="25"/>
        <v>0</v>
      </c>
      <c r="W53" s="172">
        <f t="shared" si="25"/>
        <v>0</v>
      </c>
      <c r="X53" s="172"/>
      <c r="Y53" s="172">
        <f>W24*Y$61*5</f>
        <v>0</v>
      </c>
      <c r="Z53" s="172">
        <f t="shared" si="26"/>
        <v>0</v>
      </c>
      <c r="AA53" s="172">
        <f t="shared" si="26"/>
        <v>0</v>
      </c>
      <c r="AB53" s="172"/>
      <c r="AC53" s="172">
        <f>AA24*AC$61*5</f>
        <v>0</v>
      </c>
      <c r="AD53" s="172">
        <f t="shared" si="27"/>
        <v>0</v>
      </c>
      <c r="AE53" s="172">
        <f t="shared" si="27"/>
        <v>0</v>
      </c>
      <c r="AF53" s="34"/>
      <c r="AG53" s="34"/>
      <c r="AH53" s="34"/>
      <c r="AI53" s="34"/>
      <c r="AJ53" s="34"/>
      <c r="AK53" s="34"/>
    </row>
    <row r="54" spans="1:37" hidden="1">
      <c r="A54" s="34"/>
      <c r="B54" s="171" t="s">
        <v>478</v>
      </c>
      <c r="C54" s="34"/>
      <c r="D54" s="34"/>
      <c r="E54" s="34"/>
      <c r="F54" s="172">
        <f>SUM(G54:AE54)</f>
        <v>614.6327005823307</v>
      </c>
      <c r="G54" s="172">
        <f t="shared" si="22"/>
        <v>0</v>
      </c>
      <c r="H54" s="172">
        <f t="shared" si="22"/>
        <v>0</v>
      </c>
      <c r="I54" s="172"/>
      <c r="J54" s="172">
        <f>H25*J$61*5</f>
        <v>0</v>
      </c>
      <c r="K54" s="172">
        <f t="shared" si="23"/>
        <v>0</v>
      </c>
      <c r="L54" s="172">
        <f t="shared" si="23"/>
        <v>0</v>
      </c>
      <c r="M54" s="172"/>
      <c r="N54" s="172">
        <f>L25*N$61*5</f>
        <v>0</v>
      </c>
      <c r="O54" s="172">
        <f t="shared" si="24"/>
        <v>0</v>
      </c>
      <c r="P54" s="172">
        <f t="shared" si="24"/>
        <v>48.141682959999997</v>
      </c>
      <c r="Q54" s="172">
        <f t="shared" si="24"/>
        <v>77.280029260000006</v>
      </c>
      <c r="R54" s="172">
        <f t="shared" si="24"/>
        <v>120.56087288000001</v>
      </c>
      <c r="S54" s="172"/>
      <c r="T54" s="172">
        <f>R25*T$61*5</f>
        <v>160.259300455275</v>
      </c>
      <c r="U54" s="172">
        <f t="shared" si="25"/>
        <v>208.39081502705568</v>
      </c>
      <c r="V54" s="172">
        <f t="shared" si="25"/>
        <v>0</v>
      </c>
      <c r="W54" s="172">
        <f t="shared" si="25"/>
        <v>0</v>
      </c>
      <c r="X54" s="172"/>
      <c r="Y54" s="172">
        <f>W25*Y$61*5</f>
        <v>0</v>
      </c>
      <c r="Z54" s="172">
        <f t="shared" si="26"/>
        <v>0</v>
      </c>
      <c r="AA54" s="172">
        <f t="shared" si="26"/>
        <v>0</v>
      </c>
      <c r="AB54" s="172"/>
      <c r="AC54" s="172">
        <f>AA25*AC$61*5</f>
        <v>0</v>
      </c>
      <c r="AD54" s="172">
        <f t="shared" si="27"/>
        <v>0</v>
      </c>
      <c r="AE54" s="172">
        <f t="shared" si="27"/>
        <v>0</v>
      </c>
      <c r="AF54" s="34"/>
      <c r="AG54" s="34"/>
      <c r="AH54" s="34"/>
      <c r="AI54" s="34"/>
      <c r="AJ54" s="34"/>
      <c r="AK54" s="34"/>
    </row>
    <row r="55" spans="1:37" hidden="1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</row>
    <row r="56" spans="1:37" hidden="1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</row>
    <row r="57" spans="1:37" hidden="1">
      <c r="A57" s="34"/>
      <c r="B57" s="156" t="s">
        <v>523</v>
      </c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56"/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  <c r="AD57" s="156"/>
      <c r="AE57" s="156"/>
      <c r="AF57" s="34"/>
      <c r="AG57" s="34"/>
      <c r="AH57" s="34"/>
      <c r="AI57" s="34"/>
      <c r="AJ57" s="34"/>
      <c r="AK57" s="34"/>
    </row>
    <row r="58" spans="1:37" ht="14.1" hidden="1" customHeight="1">
      <c r="A58" s="34"/>
      <c r="B58" s="167" t="s">
        <v>539</v>
      </c>
      <c r="C58" s="168"/>
      <c r="D58" s="168"/>
      <c r="E58" s="156"/>
      <c r="F58" s="169" t="s">
        <v>372</v>
      </c>
      <c r="G58" s="169" t="s">
        <v>373</v>
      </c>
      <c r="H58" s="169">
        <v>2</v>
      </c>
      <c r="I58" s="169"/>
      <c r="J58" s="169">
        <v>3</v>
      </c>
      <c r="K58" s="169">
        <v>4</v>
      </c>
      <c r="L58" s="169">
        <v>5</v>
      </c>
      <c r="M58" s="169"/>
      <c r="N58" s="169">
        <v>6</v>
      </c>
      <c r="O58" s="169">
        <v>7</v>
      </c>
      <c r="P58" s="169">
        <v>8</v>
      </c>
      <c r="Q58" s="169">
        <v>9</v>
      </c>
      <c r="R58" s="169">
        <v>10</v>
      </c>
      <c r="S58" s="169"/>
      <c r="T58" s="169">
        <v>11</v>
      </c>
      <c r="U58" s="169">
        <v>12</v>
      </c>
      <c r="V58" s="169">
        <v>13</v>
      </c>
      <c r="W58" s="169">
        <v>14</v>
      </c>
      <c r="X58" s="169"/>
      <c r="Y58" s="169">
        <v>15</v>
      </c>
      <c r="Z58" s="169">
        <v>16</v>
      </c>
      <c r="AA58" s="169">
        <v>17</v>
      </c>
      <c r="AB58" s="169"/>
      <c r="AC58" s="169">
        <v>18</v>
      </c>
      <c r="AD58" s="169">
        <v>19</v>
      </c>
      <c r="AE58" s="169" t="s">
        <v>510</v>
      </c>
      <c r="AF58" s="34"/>
      <c r="AG58" s="34"/>
      <c r="AH58" s="34"/>
      <c r="AI58" s="34"/>
      <c r="AJ58" s="34"/>
      <c r="AK58" s="34"/>
    </row>
    <row r="59" spans="1:37" ht="15.95" hidden="1" customHeight="1">
      <c r="A59" s="34"/>
      <c r="B59" s="34" t="s">
        <v>380</v>
      </c>
      <c r="C59" s="34"/>
      <c r="D59" s="34"/>
      <c r="E59" s="34"/>
      <c r="F59" s="34"/>
      <c r="G59" s="173"/>
      <c r="H59" s="173"/>
      <c r="I59" s="173"/>
      <c r="J59" s="173"/>
      <c r="K59" s="173"/>
      <c r="L59" s="173"/>
      <c r="M59" s="173"/>
      <c r="N59" s="173"/>
      <c r="O59" s="173"/>
      <c r="P59" s="173"/>
      <c r="Q59" s="173"/>
      <c r="R59" s="174">
        <v>5.0000000000000001E-3</v>
      </c>
      <c r="S59" s="174"/>
      <c r="T59" s="174">
        <v>5.0000000000000001E-3</v>
      </c>
      <c r="U59" s="174">
        <v>6.6E-3</v>
      </c>
      <c r="V59" s="174">
        <v>8.2000000000000007E-3</v>
      </c>
      <c r="W59" s="174">
        <v>8.2000000000000007E-3</v>
      </c>
      <c r="X59" s="174"/>
      <c r="Y59" s="174">
        <v>8.2000000000000007E-3</v>
      </c>
      <c r="Z59" s="174">
        <v>8.2000000000000007E-3</v>
      </c>
      <c r="AA59" s="174">
        <v>8.2000000000000007E-3</v>
      </c>
      <c r="AB59" s="174"/>
      <c r="AC59" s="174">
        <v>8.2000000000000007E-3</v>
      </c>
      <c r="AD59" s="174">
        <v>8.2000000000000007E-3</v>
      </c>
      <c r="AE59" s="174">
        <v>8.2000000000000007E-3</v>
      </c>
      <c r="AF59" s="34"/>
      <c r="AG59" s="34"/>
      <c r="AH59" s="34"/>
      <c r="AI59" s="34"/>
      <c r="AJ59" s="34"/>
      <c r="AK59" s="34"/>
    </row>
    <row r="60" spans="1:37" ht="15.95" hidden="1" customHeight="1">
      <c r="A60" s="34"/>
      <c r="B60" s="34" t="s">
        <v>524</v>
      </c>
      <c r="C60" s="34"/>
      <c r="D60" s="34"/>
      <c r="E60" s="34"/>
      <c r="F60" s="34"/>
      <c r="G60" s="173"/>
      <c r="H60" s="173"/>
      <c r="I60" s="173"/>
      <c r="J60" s="173"/>
      <c r="K60" s="173"/>
      <c r="L60" s="174">
        <v>0.10940000000000001</v>
      </c>
      <c r="M60" s="174"/>
      <c r="N60" s="174">
        <v>0.10940000000000001</v>
      </c>
      <c r="O60" s="174">
        <v>0.10940000000000001</v>
      </c>
      <c r="P60" s="174">
        <v>3.2800000000000003E-2</v>
      </c>
      <c r="Q60" s="174">
        <v>3.2800000000000003E-2</v>
      </c>
      <c r="R60" s="174">
        <v>3.2800000000000003E-2</v>
      </c>
      <c r="S60" s="174"/>
      <c r="T60" s="174"/>
      <c r="U60" s="174"/>
      <c r="V60" s="173"/>
      <c r="W60" s="173"/>
      <c r="X60" s="173"/>
      <c r="Y60" s="173"/>
      <c r="Z60" s="173"/>
      <c r="AA60" s="173"/>
      <c r="AB60" s="173"/>
      <c r="AC60" s="173"/>
      <c r="AD60" s="173"/>
      <c r="AE60" s="173"/>
      <c r="AF60" s="34"/>
      <c r="AG60" s="34"/>
      <c r="AH60" s="34"/>
      <c r="AI60" s="34"/>
      <c r="AJ60" s="34"/>
      <c r="AK60" s="34"/>
    </row>
    <row r="61" spans="1:37" ht="15.95" hidden="1" customHeight="1">
      <c r="A61" s="34"/>
      <c r="B61" s="156" t="s">
        <v>384</v>
      </c>
      <c r="C61" s="156"/>
      <c r="D61" s="156"/>
      <c r="E61" s="156"/>
      <c r="F61" s="156"/>
      <c r="G61" s="175"/>
      <c r="H61" s="175"/>
      <c r="I61" s="175"/>
      <c r="J61" s="175"/>
      <c r="K61" s="175"/>
      <c r="L61" s="176"/>
      <c r="M61" s="176"/>
      <c r="N61" s="176"/>
      <c r="O61" s="176"/>
      <c r="P61" s="176">
        <v>3.4999999999999996E-2</v>
      </c>
      <c r="Q61" s="176">
        <v>3.4999999999999996E-2</v>
      </c>
      <c r="R61" s="176">
        <v>3.4999999999999996E-2</v>
      </c>
      <c r="S61" s="176"/>
      <c r="T61" s="176">
        <v>3.4999999999999996E-2</v>
      </c>
      <c r="U61" s="176">
        <v>3.4999999999999996E-2</v>
      </c>
      <c r="V61" s="175"/>
      <c r="W61" s="175"/>
      <c r="X61" s="175"/>
      <c r="Y61" s="175"/>
      <c r="Z61" s="175"/>
      <c r="AA61" s="175"/>
      <c r="AB61" s="175"/>
      <c r="AC61" s="175"/>
      <c r="AD61" s="175"/>
      <c r="AE61" s="175"/>
      <c r="AF61" s="34"/>
      <c r="AG61" s="34"/>
      <c r="AH61" s="34"/>
      <c r="AI61" s="34"/>
      <c r="AJ61" s="34"/>
      <c r="AK61" s="34"/>
    </row>
    <row r="62" spans="1:37" ht="15.95" hidden="1" customHeight="1">
      <c r="A62" s="34"/>
      <c r="B62" s="177" t="s">
        <v>525</v>
      </c>
      <c r="C62" s="177"/>
      <c r="D62" s="177"/>
      <c r="E62" s="177"/>
      <c r="F62" s="177"/>
      <c r="G62" s="178">
        <v>67</v>
      </c>
      <c r="H62" s="179">
        <v>7</v>
      </c>
      <c r="I62" s="179"/>
      <c r="J62" s="179"/>
      <c r="K62" s="179"/>
      <c r="L62" s="179">
        <v>6</v>
      </c>
      <c r="M62" s="179"/>
      <c r="N62" s="179">
        <v>6</v>
      </c>
      <c r="O62" s="179">
        <v>6</v>
      </c>
      <c r="P62" s="178">
        <v>6</v>
      </c>
      <c r="Q62" s="178">
        <v>6</v>
      </c>
      <c r="R62" s="178">
        <v>6</v>
      </c>
      <c r="S62" s="178"/>
      <c r="T62" s="178">
        <v>6</v>
      </c>
      <c r="U62" s="178">
        <v>6</v>
      </c>
      <c r="V62" s="180"/>
      <c r="W62" s="180"/>
      <c r="X62" s="180"/>
      <c r="Y62" s="180"/>
      <c r="Z62" s="180"/>
      <c r="AA62" s="180"/>
      <c r="AB62" s="180"/>
      <c r="AC62" s="180"/>
      <c r="AD62" s="180"/>
      <c r="AE62" s="180"/>
      <c r="AF62" s="34"/>
      <c r="AG62" s="34"/>
      <c r="AH62" s="34"/>
      <c r="AI62" s="34"/>
      <c r="AJ62" s="34"/>
      <c r="AK62" s="34"/>
    </row>
    <row r="63" spans="1:37" ht="15.95" hidden="1" customHeight="1">
      <c r="A63" s="34"/>
      <c r="B63" s="156" t="s">
        <v>526</v>
      </c>
      <c r="C63" s="156"/>
      <c r="D63" s="156"/>
      <c r="E63" s="156"/>
      <c r="F63" s="156"/>
      <c r="G63" s="181">
        <v>35</v>
      </c>
      <c r="H63" s="181">
        <v>7</v>
      </c>
      <c r="I63" s="181"/>
      <c r="J63" s="181"/>
      <c r="K63" s="181"/>
      <c r="L63" s="181">
        <v>6</v>
      </c>
      <c r="M63" s="181"/>
      <c r="N63" s="181">
        <v>6</v>
      </c>
      <c r="O63" s="181">
        <v>6</v>
      </c>
      <c r="P63" s="181">
        <v>6</v>
      </c>
      <c r="Q63" s="181">
        <v>6</v>
      </c>
      <c r="R63" s="181">
        <v>6</v>
      </c>
      <c r="S63" s="181"/>
      <c r="T63" s="181">
        <v>6</v>
      </c>
      <c r="U63" s="181">
        <v>6</v>
      </c>
      <c r="V63" s="180"/>
      <c r="W63" s="180"/>
      <c r="X63" s="180"/>
      <c r="Y63" s="180"/>
      <c r="Z63" s="180"/>
      <c r="AA63" s="180"/>
      <c r="AB63" s="180"/>
      <c r="AC63" s="180"/>
      <c r="AD63" s="180"/>
      <c r="AE63" s="180"/>
      <c r="AF63" s="34"/>
      <c r="AG63" s="34"/>
      <c r="AH63" s="34"/>
      <c r="AI63" s="34"/>
      <c r="AJ63" s="34"/>
      <c r="AK63" s="34"/>
    </row>
    <row r="64" spans="1:37" ht="15.95" hidden="1" customHeight="1">
      <c r="A64" s="34"/>
      <c r="B64" s="34" t="s">
        <v>527</v>
      </c>
      <c r="C64" s="34"/>
      <c r="D64" s="34"/>
      <c r="E64" s="34"/>
      <c r="F64" s="173">
        <v>0.18099999999999999</v>
      </c>
      <c r="G64" s="34"/>
      <c r="H64" s="293" t="s">
        <v>348</v>
      </c>
      <c r="I64" s="293"/>
      <c r="J64" s="293"/>
      <c r="K64" s="34"/>
      <c r="L64" s="293" t="s">
        <v>315</v>
      </c>
      <c r="M64" s="293"/>
      <c r="N64" s="293"/>
      <c r="O64" s="293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</row>
    <row r="65" spans="1:37" ht="15.95" hidden="1" customHeight="1">
      <c r="A65" s="34"/>
      <c r="B65" s="156" t="s">
        <v>528</v>
      </c>
      <c r="C65" s="156"/>
      <c r="D65" s="156"/>
      <c r="E65" s="156"/>
      <c r="F65" s="175">
        <v>0.18099999999999999</v>
      </c>
      <c r="G65" s="177"/>
      <c r="H65" s="182" t="s">
        <v>413</v>
      </c>
      <c r="I65" s="182"/>
      <c r="J65" s="182" t="s">
        <v>352</v>
      </c>
      <c r="K65" s="171"/>
      <c r="L65" s="171" t="s">
        <v>316</v>
      </c>
      <c r="M65" s="171"/>
      <c r="N65" s="171" t="s">
        <v>319</v>
      </c>
      <c r="O65" s="171" t="s">
        <v>317</v>
      </c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</row>
    <row r="66" spans="1:37" ht="15.95" hidden="1" customHeight="1">
      <c r="A66" s="34"/>
      <c r="B66" s="177" t="s">
        <v>396</v>
      </c>
      <c r="C66" s="177"/>
      <c r="D66" s="177"/>
      <c r="E66" s="177"/>
      <c r="F66" s="183">
        <v>2.380019118738079E-3</v>
      </c>
      <c r="G66" s="34"/>
      <c r="H66" s="184"/>
      <c r="I66" s="184"/>
      <c r="J66" s="184"/>
      <c r="K66" s="171"/>
      <c r="L66" s="169" t="s">
        <v>414</v>
      </c>
      <c r="M66" s="169"/>
      <c r="N66" s="169" t="s">
        <v>555</v>
      </c>
      <c r="O66" s="169" t="s">
        <v>556</v>
      </c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</row>
    <row r="67" spans="1:37" ht="15.95" hidden="1" customHeight="1">
      <c r="A67" s="34"/>
      <c r="B67" s="156" t="s">
        <v>530</v>
      </c>
      <c r="C67" s="156"/>
      <c r="D67" s="156"/>
      <c r="E67" s="156"/>
      <c r="F67" s="181">
        <v>132</v>
      </c>
      <c r="G67" s="156"/>
      <c r="H67" s="185">
        <v>0.48884013273989008</v>
      </c>
      <c r="I67" s="185"/>
      <c r="J67" s="185">
        <v>0.19157384736886188</v>
      </c>
      <c r="K67" s="156"/>
      <c r="L67" s="185">
        <v>0.74346590950120928</v>
      </c>
      <c r="M67" s="185"/>
      <c r="N67" s="185">
        <v>0.56999999999999995</v>
      </c>
      <c r="O67" s="185">
        <v>0.74346590950120928</v>
      </c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</row>
    <row r="68" spans="1:37" ht="15.95" hidden="1" customHeight="1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</row>
    <row r="69" spans="1:37" ht="15.95" customHeight="1"/>
    <row r="70" spans="1:37" ht="15.95" customHeight="1"/>
    <row r="71" spans="1:37" ht="15.95" customHeight="1"/>
    <row r="72" spans="1:37" ht="15.95" customHeight="1"/>
    <row r="73" spans="1:37" ht="15.95" customHeight="1"/>
    <row r="74" spans="1:37" ht="15.95" customHeight="1"/>
  </sheetData>
  <mergeCells count="34">
    <mergeCell ref="AC7:AC8"/>
    <mergeCell ref="AD7:AD8"/>
    <mergeCell ref="AE7:AG7"/>
    <mergeCell ref="Y7:Y8"/>
    <mergeCell ref="Z7:Z8"/>
    <mergeCell ref="AA7:AA8"/>
    <mergeCell ref="H64:J64"/>
    <mergeCell ref="L64:O64"/>
    <mergeCell ref="AC6:AH6"/>
    <mergeCell ref="AJ6:AK6"/>
    <mergeCell ref="F7:F8"/>
    <mergeCell ref="G7:G8"/>
    <mergeCell ref="H7:H8"/>
    <mergeCell ref="J7:J8"/>
    <mergeCell ref="K7:K8"/>
    <mergeCell ref="L7:L8"/>
    <mergeCell ref="N7:N8"/>
    <mergeCell ref="O7:O8"/>
    <mergeCell ref="Y6:AA6"/>
    <mergeCell ref="AH7:AH8"/>
    <mergeCell ref="AJ7:AJ8"/>
    <mergeCell ref="AK7:AK8"/>
    <mergeCell ref="U7:U8"/>
    <mergeCell ref="V7:V8"/>
    <mergeCell ref="D6:D8"/>
    <mergeCell ref="F6:H6"/>
    <mergeCell ref="J6:L6"/>
    <mergeCell ref="N6:R6"/>
    <mergeCell ref="T6:W6"/>
    <mergeCell ref="P7:P8"/>
    <mergeCell ref="Q7:Q8"/>
    <mergeCell ref="R7:R8"/>
    <mergeCell ref="T7:T8"/>
    <mergeCell ref="W7:W8"/>
  </mergeCells>
  <phoneticPr fontId="4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FF99FF"/>
    <pageSetUpPr fitToPage="1"/>
  </sheetPr>
  <dimension ref="A1:AK74"/>
  <sheetViews>
    <sheetView showGridLines="0" workbookViewId="0">
      <selection activeCell="P31" sqref="P31"/>
    </sheetView>
  </sheetViews>
  <sheetFormatPr defaultRowHeight="13.5"/>
  <cols>
    <col min="1" max="1" width="2.625" customWidth="1"/>
    <col min="2" max="2" width="9.625" customWidth="1"/>
    <col min="3" max="3" width="1.625" customWidth="1"/>
    <col min="4" max="4" width="9.125" customWidth="1"/>
    <col min="5" max="5" width="1.625" customWidth="1"/>
    <col min="6" max="6" width="8.625" customWidth="1"/>
    <col min="7" max="8" width="7.625" customWidth="1"/>
    <col min="9" max="9" width="1.625" customWidth="1"/>
    <col min="10" max="10" width="6.625" customWidth="1"/>
    <col min="11" max="11" width="7.625" customWidth="1"/>
    <col min="12" max="12" width="8.125" customWidth="1"/>
    <col min="13" max="13" width="1.625" customWidth="1"/>
    <col min="14" max="14" width="6.625" customWidth="1"/>
    <col min="15" max="18" width="7.625" customWidth="1"/>
    <col min="19" max="19" width="1.625" customWidth="1"/>
    <col min="20" max="20" width="7.125" customWidth="1"/>
    <col min="21" max="23" width="7.625" customWidth="1"/>
    <col min="24" max="24" width="1.625" customWidth="1"/>
    <col min="25" max="25" width="7.125" customWidth="1"/>
    <col min="26" max="27" width="7.625" customWidth="1"/>
    <col min="28" max="28" width="1.625" customWidth="1"/>
    <col min="29" max="29" width="6.625" customWidth="1"/>
    <col min="30" max="30" width="8.125" customWidth="1"/>
    <col min="31" max="32" width="7.625" customWidth="1"/>
    <col min="33" max="33" width="8.625" customWidth="1"/>
    <col min="34" max="34" width="8.125" customWidth="1"/>
    <col min="36" max="37" width="9" style="137" hidden="1" customWidth="1"/>
    <col min="38" max="16384" width="9" style="137"/>
  </cols>
  <sheetData>
    <row r="1" spans="1:37">
      <c r="A1" s="1" t="s">
        <v>674</v>
      </c>
      <c r="B1" s="1"/>
      <c r="C1" s="1"/>
      <c r="D1" s="1"/>
      <c r="E1" s="1"/>
      <c r="K1" s="152"/>
      <c r="AJ1" s="153" t="s">
        <v>487</v>
      </c>
      <c r="AK1" s="34"/>
    </row>
    <row r="2" spans="1:37">
      <c r="B2" s="39" t="s">
        <v>560</v>
      </c>
      <c r="C2" s="11"/>
      <c r="D2" s="11"/>
      <c r="E2" s="11"/>
      <c r="K2" s="154"/>
      <c r="AJ2" s="34"/>
      <c r="AK2" s="34"/>
    </row>
    <row r="3" spans="1:37">
      <c r="K3" s="155"/>
      <c r="P3" s="155"/>
      <c r="AJ3" s="34"/>
      <c r="AK3" s="34"/>
    </row>
    <row r="4" spans="1:37">
      <c r="C4" s="32" t="s">
        <v>543</v>
      </c>
      <c r="D4" t="s">
        <v>432</v>
      </c>
      <c r="F4" t="s">
        <v>533</v>
      </c>
      <c r="K4" t="str">
        <f>"再造林率：低下 ("&amp;TEXT(I90,"00%")&amp;")"</f>
        <v>再造林率：低下 (00%)</v>
      </c>
      <c r="AJ4" s="34"/>
      <c r="AK4" s="34"/>
    </row>
    <row r="5" spans="1:37" ht="15.95" customHeight="1">
      <c r="B5" s="2"/>
      <c r="C5" s="2"/>
      <c r="D5" s="2"/>
      <c r="E5" s="2"/>
      <c r="F5" s="3"/>
      <c r="G5" s="44"/>
      <c r="H5" s="2"/>
      <c r="I5" s="16"/>
      <c r="L5" s="2"/>
      <c r="M5" s="2"/>
      <c r="N5" s="2"/>
      <c r="O5" s="2"/>
      <c r="P5" s="2"/>
      <c r="Q5" s="3"/>
      <c r="R5" s="109"/>
      <c r="S5" s="109"/>
      <c r="T5" s="2"/>
      <c r="U5" s="3"/>
      <c r="V5" s="109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J5" s="156"/>
      <c r="AK5" s="156"/>
    </row>
    <row r="6" spans="1:37" ht="15.95" customHeight="1">
      <c r="B6" s="131"/>
      <c r="C6" s="131"/>
      <c r="D6" s="289" t="s">
        <v>490</v>
      </c>
      <c r="E6" s="104"/>
      <c r="F6" s="265" t="s">
        <v>399</v>
      </c>
      <c r="G6" s="265"/>
      <c r="H6" s="265"/>
      <c r="I6" s="104"/>
      <c r="J6" s="265" t="s">
        <v>400</v>
      </c>
      <c r="K6" s="265"/>
      <c r="L6" s="265"/>
      <c r="M6" s="104"/>
      <c r="N6" s="265" t="s">
        <v>689</v>
      </c>
      <c r="O6" s="265"/>
      <c r="P6" s="265"/>
      <c r="Q6" s="265"/>
      <c r="R6" s="265"/>
      <c r="S6" s="104"/>
      <c r="T6" s="265" t="s">
        <v>687</v>
      </c>
      <c r="U6" s="265"/>
      <c r="V6" s="265"/>
      <c r="W6" s="265"/>
      <c r="X6" s="104"/>
      <c r="Y6" s="265" t="s">
        <v>347</v>
      </c>
      <c r="Z6" s="265"/>
      <c r="AA6" s="265"/>
      <c r="AB6" s="104"/>
      <c r="AC6" s="265" t="s">
        <v>491</v>
      </c>
      <c r="AD6" s="265"/>
      <c r="AE6" s="265"/>
      <c r="AF6" s="265"/>
      <c r="AG6" s="265"/>
      <c r="AH6" s="265"/>
      <c r="AJ6" s="293" t="s">
        <v>492</v>
      </c>
      <c r="AK6" s="293"/>
    </row>
    <row r="7" spans="1:37" ht="15.95" customHeight="1">
      <c r="B7" s="15" t="s">
        <v>493</v>
      </c>
      <c r="C7" s="16"/>
      <c r="D7" s="276"/>
      <c r="E7" s="55"/>
      <c r="F7" s="289" t="s">
        <v>1</v>
      </c>
      <c r="G7" s="289" t="s">
        <v>316</v>
      </c>
      <c r="H7" s="289" t="s">
        <v>317</v>
      </c>
      <c r="I7" s="55"/>
      <c r="J7" s="289" t="s">
        <v>1</v>
      </c>
      <c r="K7" s="289" t="s">
        <v>401</v>
      </c>
      <c r="L7" s="289" t="s">
        <v>319</v>
      </c>
      <c r="M7" s="55"/>
      <c r="N7" s="289" t="s">
        <v>1</v>
      </c>
      <c r="O7" s="289" t="s">
        <v>494</v>
      </c>
      <c r="P7" s="289" t="s">
        <v>403</v>
      </c>
      <c r="Q7" s="289" t="s">
        <v>495</v>
      </c>
      <c r="R7" s="289" t="s">
        <v>496</v>
      </c>
      <c r="S7" s="55"/>
      <c r="T7" s="289" t="s">
        <v>1</v>
      </c>
      <c r="U7" s="289" t="s">
        <v>494</v>
      </c>
      <c r="V7" s="289" t="s">
        <v>495</v>
      </c>
      <c r="W7" s="289" t="s">
        <v>496</v>
      </c>
      <c r="X7" s="55"/>
      <c r="Y7" s="289" t="s">
        <v>1</v>
      </c>
      <c r="Z7" s="289" t="s">
        <v>413</v>
      </c>
      <c r="AA7" s="289" t="s">
        <v>352</v>
      </c>
      <c r="AB7" s="55"/>
      <c r="AC7" s="289" t="s">
        <v>1</v>
      </c>
      <c r="AD7" s="289" t="s">
        <v>497</v>
      </c>
      <c r="AE7" s="286" t="s">
        <v>498</v>
      </c>
      <c r="AF7" s="286"/>
      <c r="AG7" s="286"/>
      <c r="AH7" s="289" t="s">
        <v>499</v>
      </c>
      <c r="AJ7" s="294" t="s">
        <v>500</v>
      </c>
      <c r="AK7" s="294" t="s">
        <v>501</v>
      </c>
    </row>
    <row r="8" spans="1:37" ht="15.95" customHeight="1">
      <c r="B8" s="6"/>
      <c r="D8" s="278"/>
      <c r="E8" s="55"/>
      <c r="F8" s="278"/>
      <c r="G8" s="278"/>
      <c r="H8" s="278"/>
      <c r="I8" s="55"/>
      <c r="J8" s="278"/>
      <c r="K8" s="278"/>
      <c r="L8" s="278"/>
      <c r="M8" s="55"/>
      <c r="N8" s="278"/>
      <c r="O8" s="278"/>
      <c r="P8" s="278"/>
      <c r="Q8" s="278"/>
      <c r="R8" s="278"/>
      <c r="S8" s="55"/>
      <c r="T8" s="278"/>
      <c r="U8" s="278"/>
      <c r="V8" s="278"/>
      <c r="W8" s="278"/>
      <c r="X8" s="55"/>
      <c r="Y8" s="278"/>
      <c r="Z8" s="278"/>
      <c r="AA8" s="278"/>
      <c r="AB8" s="55"/>
      <c r="AC8" s="278"/>
      <c r="AD8" s="278"/>
      <c r="AE8" s="56" t="s">
        <v>1</v>
      </c>
      <c r="AF8" s="56" t="s">
        <v>401</v>
      </c>
      <c r="AG8" s="56" t="s">
        <v>319</v>
      </c>
      <c r="AH8" s="278"/>
      <c r="AJ8" s="295"/>
      <c r="AK8" s="295"/>
    </row>
    <row r="9" spans="1:37" ht="14.1" customHeight="1">
      <c r="E9" s="16"/>
      <c r="F9" s="16" t="s">
        <v>474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71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J9" s="34"/>
      <c r="AK9" s="34"/>
    </row>
    <row r="10" spans="1:37" ht="14.1" customHeight="1">
      <c r="B10" s="106" t="s">
        <v>552</v>
      </c>
      <c r="D10" s="49"/>
      <c r="E10" s="110"/>
      <c r="F10" s="157">
        <f>SUM(G10:H10)</f>
        <v>70.447052880172407</v>
      </c>
      <c r="G10" s="157">
        <v>38.885333558651013</v>
      </c>
      <c r="H10" s="157">
        <v>31.561719321521402</v>
      </c>
      <c r="I10" s="157"/>
      <c r="J10" s="158">
        <f>SUM(K10:L10)</f>
        <v>516.63924816976009</v>
      </c>
      <c r="K10" s="158">
        <v>282.07085384376006</v>
      </c>
      <c r="L10" s="158">
        <v>234.568394326</v>
      </c>
      <c r="M10" s="157"/>
      <c r="N10" s="157">
        <f>SUM(O10:R10)</f>
        <v>42.331700162355752</v>
      </c>
      <c r="O10" s="110">
        <v>14.006981502836402</v>
      </c>
      <c r="P10" s="110">
        <v>11.131364598429178</v>
      </c>
      <c r="Q10" s="110">
        <v>13.027207110649348</v>
      </c>
      <c r="R10" s="110">
        <v>4.1661469504408251</v>
      </c>
      <c r="S10" s="110"/>
      <c r="T10" s="110">
        <f>SUM(U10:W10)</f>
        <v>20.936609527068185</v>
      </c>
      <c r="U10" s="110">
        <v>10.41371324237288</v>
      </c>
      <c r="V10" s="110">
        <v>7.4255080530701276</v>
      </c>
      <c r="W10" s="110">
        <v>3.0973882316251773</v>
      </c>
      <c r="X10" s="110"/>
      <c r="Y10" s="110">
        <f>SUM(Z10:AA10)</f>
        <v>25.055111618445864</v>
      </c>
      <c r="Z10" s="110">
        <v>19.008711618445862</v>
      </c>
      <c r="AA10" s="110">
        <v>6.0464000000000002</v>
      </c>
      <c r="AB10" s="110"/>
      <c r="AC10" s="110">
        <f>SUM(AD10:AE10,AH10)</f>
        <v>7.936848516848956</v>
      </c>
      <c r="AD10" s="110">
        <v>1.8926768784358732</v>
      </c>
      <c r="AE10" s="110">
        <f>SUM(AF10:AG10)</f>
        <v>3.6271588523669189</v>
      </c>
      <c r="AF10" s="110">
        <v>1.6924251230625604</v>
      </c>
      <c r="AG10" s="110">
        <f>V10/AK10</f>
        <v>1.9347337293043583</v>
      </c>
      <c r="AH10" s="110">
        <f>(U10+W10)/AJ10</f>
        <v>2.4170127860461639</v>
      </c>
      <c r="AJ10" s="159">
        <v>5.59</v>
      </c>
      <c r="AK10" s="159">
        <v>3.8380000000000001</v>
      </c>
    </row>
    <row r="11" spans="1:37" ht="14.1" customHeight="1">
      <c r="B11" s="106" t="s">
        <v>546</v>
      </c>
      <c r="D11" s="160">
        <v>1.38</v>
      </c>
      <c r="E11" s="161"/>
      <c r="F11" s="157">
        <f>SUM(G11:H11)</f>
        <v>99.154549520152329</v>
      </c>
      <c r="G11" s="157">
        <f>F40/5</f>
        <v>67.309628809641609</v>
      </c>
      <c r="H11" s="157">
        <f>AG23*F$66</f>
        <v>31.844920710510717</v>
      </c>
      <c r="I11" s="162"/>
      <c r="J11" s="158">
        <f>SUM(K11:L11)</f>
        <v>406.18600677584004</v>
      </c>
      <c r="K11" s="158">
        <f>F46/5</f>
        <v>194.88940472784006</v>
      </c>
      <c r="L11" s="158">
        <f>F52/5</f>
        <v>211.29660204800001</v>
      </c>
      <c r="M11" s="162"/>
      <c r="N11" s="157">
        <f>SUM(O11:R11)</f>
        <v>50.092248478101865</v>
      </c>
      <c r="O11" s="110">
        <f>SUM($H40*($G$29+$H$29),$J40*($H$29+$J$29),$K40*($J$29+$K$29),$L40*($K$29+$L$29),$N40*($L$29+$N$29),$O40*($N$29+$O$29),$P40*($O$29+$P$29),$Q40*($P$29+$Q$29),$R40*($Q$29+$R$29),$T40*($R$29+$T$29),$U40*($T$29+$U$29),$V40*($U$29+$V$29),$W40*($V$29+$W$29),$Y40*($W$29+$Y$29),$Z40*($Y$29+$Z$29),$AA40*($Z$29+$AA$29),$AC40*($AA$29+$AC$29),$AD40*($AC$29+$AD$29),$AE40*($AD$29+$AE$29))/2/5/1000</f>
        <v>25.472169102162965</v>
      </c>
      <c r="P11" s="110">
        <f>SUM($H46*($G$29+$H$29),$J46*($H$29+$J$29),$K46*($J$29+$K$29),$L46*($K$29+$L$29),$N46*($L$29+$N$29),$O46*($N$29+$O$29),$P46*($O$29+$P$29),$Q46*($P$29+$Q$29),$R46*($Q$29+$R$29),$T46*($R$29+$T$29),$U46*($T$29+$U$29),$V46*($U$29+$V$29),$W46*($V$29+$W$29),$Y46*($W$29+$Y$29),$Z46*($Y$29+$Z$29),$AA46*($Z$29+$AA$29),$AC46*($AA$29+$AC$29),$AD46*($AC$29+$AD$29),$AE46*($AD$29+$AE$29))*$F$64/2/5/1000</f>
        <v>8.1339971268373787</v>
      </c>
      <c r="Q11" s="110">
        <f>SUM($H52*($G$29+$H$29),$J52*($H$29+$J$29),$K52*($J$29+$K$29),$L52*($K$29+$L$29),$N52*($L$29+$N$29),$O52*($N$29+$O$29),$P52*($O$29+$P$29),$Q52*($P$29+$Q$29),$R52*($Q$29+$R$29),$T52*($R$29+$T$29),$U52*($T$29+$U$29),$V52*($U$29+$V$29),$W52*($V$29+$W$29),$Y52*($W$29+$Y$29),$Z52*($Y$29+$Z$29),$AA52*($Z$29+$AA$29),$AC52*($AA$29+$AC$29),$AD52*($AC$29+$AD$29),$AE52*($AD$29+$AE$29))*$F$65/2/5/1000</f>
        <v>12.282552715314102</v>
      </c>
      <c r="R11" s="110">
        <f>H11*F$67/1000</f>
        <v>4.2035295337874148</v>
      </c>
      <c r="S11" s="161"/>
      <c r="T11" s="110">
        <f>SUM(U11:W11)</f>
        <v>29.063925324189682</v>
      </c>
      <c r="U11" s="110">
        <f>O11*L$67</f>
        <v>18.937689368508192</v>
      </c>
      <c r="V11" s="110">
        <f t="shared" ref="V11:W13" si="0">Q11*N$67</f>
        <v>7.0010550477290376</v>
      </c>
      <c r="W11" s="110">
        <f t="shared" si="0"/>
        <v>3.1251809079524544</v>
      </c>
      <c r="X11" s="161"/>
      <c r="Y11" s="110">
        <f>SUM(Z11:AA11)</f>
        <v>32.351409215429115</v>
      </c>
      <c r="Z11" s="110">
        <f>G11*H$67</f>
        <v>26.250755235760227</v>
      </c>
      <c r="AA11" s="110">
        <f>H11*J$67</f>
        <v>6.1006539796688886</v>
      </c>
      <c r="AB11" s="161"/>
      <c r="AC11" s="110">
        <f>SUM(AD11:AE11,AH11)</f>
        <v>7.0051248163337156</v>
      </c>
      <c r="AD11" s="110">
        <f>SUMPRODUCT(G24:H24,IF($D$4="従来",G$62:H$62,IF($D$4="省力",G$63:H$63)))/5/1000</f>
        <v>1.3074673225400189</v>
      </c>
      <c r="AE11" s="110">
        <f>SUM(AF11:AG11)</f>
        <v>2.7558953116431457</v>
      </c>
      <c r="AF11" s="110">
        <f>SUMPRODUCT(L46:R46,IF($D$4="従来",L$62:R$62,IF($D$4="省力",L$63:R$63)))/5/1000</f>
        <v>1.1693364283670402</v>
      </c>
      <c r="AG11" s="110">
        <f>V11/AK11</f>
        <v>1.5865588832761055</v>
      </c>
      <c r="AH11" s="110">
        <f>(U11+W11)/AJ11</f>
        <v>2.9417621821505513</v>
      </c>
      <c r="AJ11" s="159">
        <v>7.4998823529411762</v>
      </c>
      <c r="AK11" s="159">
        <v>4.4127294117647056</v>
      </c>
    </row>
    <row r="12" spans="1:37" ht="14.1" customHeight="1">
      <c r="B12" s="106" t="s">
        <v>477</v>
      </c>
      <c r="D12" s="160">
        <v>1.55</v>
      </c>
      <c r="E12" s="161"/>
      <c r="F12" s="157">
        <f>SUM(G12:H12)</f>
        <v>118.55198977083404</v>
      </c>
      <c r="G12" s="157">
        <f>F41/5</f>
        <v>86.779667425865412</v>
      </c>
      <c r="H12" s="157">
        <f>AG24*F$66</f>
        <v>31.772322344968629</v>
      </c>
      <c r="I12" s="162"/>
      <c r="J12" s="158">
        <f>SUM(K12:L12)</f>
        <v>305.32446944751405</v>
      </c>
      <c r="K12" s="158">
        <f>F47/5</f>
        <v>136.02447560480005</v>
      </c>
      <c r="L12" s="158">
        <f>F53/5</f>
        <v>169.299993842714</v>
      </c>
      <c r="M12" s="162"/>
      <c r="N12" s="157">
        <f>SUM(O12:R12)</f>
        <v>53.666090864154974</v>
      </c>
      <c r="O12" s="110">
        <f>SUM($H41*($G$29+$H$29),$J41*($H$29+$J$29),$K41*($J$29+$K$29),$L41*($K$29+$L$29),$N41*($L$29+$N$29),$O41*($N$29+$O$29),$P41*($O$29+$P$29),$Q41*($P$29+$Q$29),$R41*($Q$29+$R$29),$T41*($R$29+$T$29),$U41*($T$29+$U$29),$V41*($U$29+$V$29),$W41*($V$29+$W$29),$Y41*($W$29+$Y$29),$Z41*($Y$29+$Z$29),$AA41*($Z$29+$AA$29),$AC41*($AA$29+$AC$29),$AD41*($AC$29+$AD$29),$AE41*($AD$29+$AE$29))/2/5/1000</f>
        <v>33.802988604519761</v>
      </c>
      <c r="P12" s="110">
        <f>SUM($H47*($G$29+$H$29),$J47*($H$29+$J$29),$K47*($J$29+$K$29),$L47*($K$29+$L$29),$N47*($L$29+$N$29),$O47*($N$29+$O$29),$P47*($O$29+$P$29),$Q47*($P$29+$Q$29),$R47*($Q$29+$R$29),$T47*($R$29+$T$29),$U47*($T$29+$U$29),$V47*($U$29+$V$29),$W47*($V$29+$W$29),$Y47*($W$29+$Y$29),$Z47*($Y$29+$Z$29),$AA47*($Z$29+$AA$29),$AC47*($AA$29+$AC$29),$AD47*($AC$29+$AD$29),$AE47*($AD$29+$AE$29))*F$64/2/5/1000</f>
        <v>5.6787433076998912</v>
      </c>
      <c r="Q12" s="110">
        <f>SUM($H53*($G$29+$H$29),$J53*($H$29+$J$29),$K53*($J$29+$K$29),$L53*($K$29+$L$29),$N53*($L$29+$N$29),$O53*($N$29+$O$29),$P53*($O$29+$P$29),$Q53*($P$29+$Q$29),$R53*($Q$29+$R$29),$T53*($R$29+$T$29),$U53*($T$29+$U$29),$V53*($U$29+$V$29),$W53*($V$29+$W$29),$Y53*($W$29+$Y$29),$Z53*($Y$29+$Z$29),$AA53*($Z$29+$AA$29),$AC53*($AA$29+$AC$29),$AD53*($AC$29+$AD$29),$AE53*($AD$29+$AE$29))*$F$65/2/5/1000</f>
        <v>9.9904124023994658</v>
      </c>
      <c r="R12" s="110">
        <f>H12*F$67/1000</f>
        <v>4.193946549535859</v>
      </c>
      <c r="S12" s="161"/>
      <c r="T12" s="110">
        <f>SUM(U12:W12)</f>
        <v>33.943961021936126</v>
      </c>
      <c r="U12" s="110">
        <f>O12*L$67</f>
        <v>25.131369666718296</v>
      </c>
      <c r="V12" s="110">
        <f t="shared" si="0"/>
        <v>5.6945350693676948</v>
      </c>
      <c r="W12" s="110">
        <f t="shared" si="0"/>
        <v>3.1180562858501357</v>
      </c>
      <c r="X12" s="161"/>
      <c r="Y12" s="110">
        <f>SUM(Z12:AA12)</f>
        <v>39.930816327556812</v>
      </c>
      <c r="Z12" s="110">
        <f>G12*H$67</f>
        <v>33.844070296087509</v>
      </c>
      <c r="AA12" s="110">
        <f>H12*J$67</f>
        <v>6.0867460314692998</v>
      </c>
      <c r="AB12" s="161"/>
      <c r="AC12" s="110">
        <f>SUM(AD12:AE12,AH12)</f>
        <v>6.4510967768006831</v>
      </c>
      <c r="AD12" s="110">
        <f>SUMPRODUCT(G25:H25,IF($D$4="従来",G$62:H$62,IF($D$4="省力",G$63:H$63)))/5/1000</f>
        <v>1.6240384359724922</v>
      </c>
      <c r="AE12" s="110">
        <f>SUM(AF12:AG12)</f>
        <v>1.8248062703501762</v>
      </c>
      <c r="AF12" s="110">
        <f>SUMPRODUCT(L47:R47,IF($D$4="従来",L$62:R$62,IF($D$4="省力",L$63:R$63)))/5/1000</f>
        <v>0.81614685362880002</v>
      </c>
      <c r="AG12" s="110">
        <f>V12/AK12</f>
        <v>1.0086594167213763</v>
      </c>
      <c r="AH12" s="110">
        <f>(U12+W12)/AJ12</f>
        <v>3.0022520704780149</v>
      </c>
      <c r="AJ12" s="159">
        <v>9.409411764705883</v>
      </c>
      <c r="AK12" s="159">
        <v>5.6456470588235295</v>
      </c>
    </row>
    <row r="13" spans="1:37" ht="14.1" customHeight="1">
      <c r="B13" s="105" t="s">
        <v>478</v>
      </c>
      <c r="D13" s="163">
        <v>1.48</v>
      </c>
      <c r="E13" s="161"/>
      <c r="F13" s="164">
        <f>SUM(G13:H13)</f>
        <v>121.20252546245976</v>
      </c>
      <c r="G13" s="164">
        <f>F42/5</f>
        <v>89.502635977120136</v>
      </c>
      <c r="H13" s="164">
        <f>AG25*F$66</f>
        <v>31.699889485339625</v>
      </c>
      <c r="I13" s="162"/>
      <c r="J13" s="165">
        <f>SUM(K13:L13)</f>
        <v>223.35203272926617</v>
      </c>
      <c r="K13" s="165">
        <f>F48/5</f>
        <v>100.42549261280003</v>
      </c>
      <c r="L13" s="165">
        <f>F54/5</f>
        <v>122.92654011646614</v>
      </c>
      <c r="M13" s="162"/>
      <c r="N13" s="164">
        <f>SUM(O13:R13)</f>
        <v>51.436290014618066</v>
      </c>
      <c r="O13" s="50">
        <f>SUM($H42*($G$29+$H$29),$J42*($H$29+$J$29),$K42*($J$29+$K$29),$L42*($K$29+$L$29),$N42*($L$29+$N$29),$O42*($N$29+$O$29),$P42*($O$29+$P$29),$Q42*($P$29+$Q$29),$R42*($Q$29+$R$29),$T42*($R$29+$T$29),$U42*($T$29+$U$29),$V42*($U$29+$V$29),$W42*($V$29+$W$29),$Y42*($W$29+$Y$29),$Z42*($Y$29+$Z$29),$AA42*($Z$29+$AA$29),$AC42*($AA$29+$AC$29),$AD42*($AC$29+$AD$29),$AE42*($AD$29+$AE$29))/2/5/1000</f>
        <v>35.871354942673619</v>
      </c>
      <c r="P13" s="50">
        <f>SUM($H48*($G$29+$H$29),$J48*($H$29+$J$29),$K48*($J$29+$K$29),$L48*($K$29+$L$29),$N48*($L$29+$N$29),$O48*($N$29+$O$29),$P48*($O$29+$P$29),$Q48*($P$29+$Q$29),$R48*($Q$29+$R$29),$T48*($R$29+$T$29),$U48*($T$29+$U$29),$V48*($U$29+$V$29),$W48*($V$29+$W$29),$Y48*($W$29+$Y$29),$Z48*($Y$29+$Z$29),$AA48*($Z$29+$AA$29),$AC48*($AA$29+$AC$29),$AD48*($AC$29+$AD$29),$AE48*($AD$29+$AE$29))*F$64/2/5/1000</f>
        <v>4.0635688573109539</v>
      </c>
      <c r="Q13" s="50">
        <f>SUM($H54*($G$29+$H$29),$J54*($H$29+$J$29),$K54*($J$29+$K$29),$L54*($K$29+$L$29),$N54*($L$29+$N$29),$O54*($N$29+$O$29),$P54*($O$29+$P$29),$Q54*($P$29+$Q$29),$R54*($Q$29+$R$29),$T54*($R$29+$T$29),$U54*($T$29+$U$29),$V54*($U$29+$V$29),$W54*($V$29+$W$29),$Y54*($W$29+$Y$29),$Z54*($Y$29+$Z$29),$AA54*($Z$29+$AA$29),$AC54*($AA$29+$AC$29),$AD54*($AC$29+$AD$29),$AE54*($AD$29+$AE$29))*$F$65/2/5/1000</f>
        <v>7.3169808025686676</v>
      </c>
      <c r="R13" s="50">
        <f>H13*F$67/1000</f>
        <v>4.1843854120648301</v>
      </c>
      <c r="S13" s="161"/>
      <c r="T13" s="50">
        <f>SUM(U13:W13)</f>
        <v>33.950756491044054</v>
      </c>
      <c r="U13" s="50">
        <f>O13*L$67</f>
        <v>26.669129527495542</v>
      </c>
      <c r="V13" s="50">
        <f t="shared" si="0"/>
        <v>4.1706790574641399</v>
      </c>
      <c r="W13" s="50">
        <f t="shared" si="0"/>
        <v>3.1109479060843714</v>
      </c>
      <c r="X13" s="161"/>
      <c r="Y13" s="50">
        <f>SUM(Z13:AA13)</f>
        <v>40.978897820951104</v>
      </c>
      <c r="Z13" s="50">
        <f>G13*H$67</f>
        <v>34.906028031076858</v>
      </c>
      <c r="AA13" s="50">
        <f>H13*J$67</f>
        <v>6.0728697898742432</v>
      </c>
      <c r="AB13" s="161"/>
      <c r="AC13" s="50">
        <f>SUM(AD13:AE13,AH13)</f>
        <v>5.5667103775629752</v>
      </c>
      <c r="AD13" s="50">
        <f>SUMPRODUCT(G26:H26,IF($D$4="従来",G$62:H$62,IF($D$4="省力",G$63:H$63)))/5/1000</f>
        <v>1.7137771380261864</v>
      </c>
      <c r="AE13" s="50">
        <f>SUM(AF13:AG13)</f>
        <v>1.2176653390065797</v>
      </c>
      <c r="AF13" s="50">
        <f>SUMPRODUCT(L48:R48,IF($D$4="従来",L$62:R$62,IF($D$4="省力",L$63:R$63)))/5/1000</f>
        <v>0.60255295567680001</v>
      </c>
      <c r="AG13" s="50">
        <f>V13/AK13</f>
        <v>0.61511238332977969</v>
      </c>
      <c r="AH13" s="50">
        <f>(U13+W13)/AJ13</f>
        <v>2.6352679005302093</v>
      </c>
      <c r="AJ13" s="159">
        <v>11.300588235294118</v>
      </c>
      <c r="AK13" s="159">
        <v>6.7803529411764698</v>
      </c>
    </row>
    <row r="14" spans="1:37" ht="14.1" customHeight="1">
      <c r="E14" s="16"/>
      <c r="F14" s="137"/>
      <c r="G14" s="137"/>
      <c r="H14" s="137"/>
      <c r="I14" s="166"/>
      <c r="J14" s="137"/>
      <c r="K14" s="137"/>
      <c r="L14" s="137"/>
      <c r="M14" s="166"/>
      <c r="N14" s="137"/>
      <c r="S14" s="16"/>
      <c r="X14" s="16"/>
      <c r="AB14" s="16"/>
      <c r="AJ14" s="34"/>
      <c r="AK14" s="34"/>
    </row>
    <row r="15" spans="1:37" ht="14.1" customHeight="1">
      <c r="E15" s="16"/>
      <c r="F15" s="137" t="s">
        <v>479</v>
      </c>
      <c r="G15" s="137"/>
      <c r="H15" s="137"/>
      <c r="I15" s="166"/>
      <c r="J15" s="137"/>
      <c r="K15" s="137"/>
      <c r="L15" s="137"/>
      <c r="M15" s="166"/>
      <c r="N15" s="137"/>
      <c r="S15" s="16"/>
      <c r="X15" s="16"/>
      <c r="AB15" s="16"/>
      <c r="AJ15" s="34"/>
      <c r="AK15" s="34"/>
    </row>
    <row r="16" spans="1:37" ht="14.1" customHeight="1">
      <c r="B16" s="106" t="s">
        <v>552</v>
      </c>
      <c r="E16" s="16"/>
      <c r="F16" s="41">
        <f t="shared" ref="F16:H19" si="1">F10/F$10*100</f>
        <v>100</v>
      </c>
      <c r="G16" s="41">
        <f t="shared" si="1"/>
        <v>100</v>
      </c>
      <c r="H16" s="41">
        <f t="shared" si="1"/>
        <v>100</v>
      </c>
      <c r="I16" s="166"/>
      <c r="J16" s="41">
        <f t="shared" ref="J16:L19" si="2">J10/J$10*100</f>
        <v>100</v>
      </c>
      <c r="K16" s="41">
        <f t="shared" si="2"/>
        <v>100</v>
      </c>
      <c r="L16" s="41">
        <f t="shared" si="2"/>
        <v>100</v>
      </c>
      <c r="M16" s="166"/>
      <c r="N16" s="41">
        <f t="shared" ref="N16:R19" si="3">N10/N$10*100</f>
        <v>100</v>
      </c>
      <c r="O16" s="9">
        <f t="shared" si="3"/>
        <v>100</v>
      </c>
      <c r="P16" s="9">
        <f t="shared" si="3"/>
        <v>100</v>
      </c>
      <c r="Q16" s="9">
        <f t="shared" si="3"/>
        <v>100</v>
      </c>
      <c r="R16" s="9">
        <f t="shared" si="3"/>
        <v>100</v>
      </c>
      <c r="S16" s="16"/>
      <c r="T16" s="9">
        <f t="shared" ref="T16:W19" si="4">T10/T$10*100</f>
        <v>100</v>
      </c>
      <c r="U16" s="9">
        <f t="shared" si="4"/>
        <v>100</v>
      </c>
      <c r="V16" s="9">
        <f t="shared" si="4"/>
        <v>100</v>
      </c>
      <c r="W16" s="9">
        <f t="shared" si="4"/>
        <v>100</v>
      </c>
      <c r="X16" s="16"/>
      <c r="Y16" s="9">
        <f t="shared" ref="Y16:AA19" si="5">Y10/Y$10*100</f>
        <v>100</v>
      </c>
      <c r="Z16" s="9">
        <f t="shared" si="5"/>
        <v>100</v>
      </c>
      <c r="AA16" s="9">
        <f t="shared" si="5"/>
        <v>100</v>
      </c>
      <c r="AB16" s="16"/>
      <c r="AC16" s="9">
        <f t="shared" ref="AC16:AH19" si="6">AC10/AC$10*100</f>
        <v>100</v>
      </c>
      <c r="AD16" s="9">
        <f t="shared" si="6"/>
        <v>100</v>
      </c>
      <c r="AE16" s="9">
        <f t="shared" si="6"/>
        <v>100</v>
      </c>
      <c r="AF16" s="9">
        <f t="shared" si="6"/>
        <v>100</v>
      </c>
      <c r="AG16" s="9">
        <f t="shared" si="6"/>
        <v>100</v>
      </c>
      <c r="AH16" s="9">
        <f t="shared" si="6"/>
        <v>100</v>
      </c>
      <c r="AJ16" s="34"/>
      <c r="AK16" s="34"/>
    </row>
    <row r="17" spans="2:37" ht="14.1" customHeight="1">
      <c r="B17" s="106" t="s">
        <v>546</v>
      </c>
      <c r="E17" s="16"/>
      <c r="F17" s="41">
        <f t="shared" si="1"/>
        <v>140.7504579202344</v>
      </c>
      <c r="G17" s="41">
        <f t="shared" si="1"/>
        <v>173.09772772841987</v>
      </c>
      <c r="H17" s="41">
        <f t="shared" si="1"/>
        <v>100.89729392148863</v>
      </c>
      <c r="I17" s="166"/>
      <c r="J17" s="41">
        <f t="shared" si="2"/>
        <v>78.620818726953019</v>
      </c>
      <c r="K17" s="41">
        <f t="shared" si="2"/>
        <v>69.092358204364473</v>
      </c>
      <c r="L17" s="41">
        <f t="shared" si="2"/>
        <v>90.078888357969845</v>
      </c>
      <c r="M17" s="166"/>
      <c r="N17" s="41">
        <f t="shared" si="3"/>
        <v>118.33271115022998</v>
      </c>
      <c r="O17" s="9">
        <f t="shared" si="3"/>
        <v>181.85337859555875</v>
      </c>
      <c r="P17" s="9">
        <f t="shared" si="3"/>
        <v>73.072776072622958</v>
      </c>
      <c r="Q17" s="9">
        <f t="shared" si="3"/>
        <v>94.283852332964642</v>
      </c>
      <c r="R17" s="9">
        <f t="shared" si="3"/>
        <v>100.89729392148863</v>
      </c>
      <c r="S17" s="16"/>
      <c r="T17" s="9">
        <f t="shared" si="4"/>
        <v>138.81868163330833</v>
      </c>
      <c r="U17" s="9">
        <f t="shared" si="4"/>
        <v>181.85337859555878</v>
      </c>
      <c r="V17" s="9">
        <f t="shared" si="4"/>
        <v>94.283852332964656</v>
      </c>
      <c r="W17" s="9">
        <f t="shared" si="4"/>
        <v>100.89729392148863</v>
      </c>
      <c r="X17" s="16"/>
      <c r="Y17" s="9">
        <f t="shared" si="5"/>
        <v>129.12099418312562</v>
      </c>
      <c r="Z17" s="9">
        <f t="shared" si="5"/>
        <v>138.09855061553336</v>
      </c>
      <c r="AA17" s="9">
        <f t="shared" si="5"/>
        <v>100.89729392148863</v>
      </c>
      <c r="AB17" s="16"/>
      <c r="AC17" s="9">
        <f t="shared" si="6"/>
        <v>88.26078513987882</v>
      </c>
      <c r="AD17" s="9">
        <f t="shared" si="6"/>
        <v>69.080324139666288</v>
      </c>
      <c r="AE17" s="9">
        <f t="shared" si="6"/>
        <v>75.979449034738948</v>
      </c>
      <c r="AF17" s="9">
        <f t="shared" si="6"/>
        <v>69.092358204364459</v>
      </c>
      <c r="AG17" s="9">
        <f t="shared" si="6"/>
        <v>82.003991518076219</v>
      </c>
      <c r="AH17" s="9">
        <f t="shared" si="6"/>
        <v>121.71065867478472</v>
      </c>
      <c r="AJ17" s="34"/>
      <c r="AK17" s="34"/>
    </row>
    <row r="18" spans="2:37" ht="14.1" customHeight="1">
      <c r="B18" s="106" t="s">
        <v>477</v>
      </c>
      <c r="E18" s="16"/>
      <c r="F18" s="41">
        <f t="shared" si="1"/>
        <v>168.28523681819053</v>
      </c>
      <c r="G18" s="41">
        <f t="shared" si="1"/>
        <v>223.16811888722788</v>
      </c>
      <c r="H18" s="41">
        <f t="shared" si="1"/>
        <v>100.66727360858197</v>
      </c>
      <c r="I18" s="166"/>
      <c r="J18" s="41">
        <f t="shared" si="2"/>
        <v>59.098194829206797</v>
      </c>
      <c r="K18" s="41">
        <f t="shared" si="2"/>
        <v>48.223513259595556</v>
      </c>
      <c r="L18" s="41">
        <f t="shared" si="2"/>
        <v>72.175108811728123</v>
      </c>
      <c r="M18" s="166"/>
      <c r="N18" s="41">
        <f t="shared" si="3"/>
        <v>126.77518421969391</v>
      </c>
      <c r="O18" s="9">
        <f t="shared" si="3"/>
        <v>241.32957266827751</v>
      </c>
      <c r="P18" s="9">
        <f t="shared" si="3"/>
        <v>51.015697648617639</v>
      </c>
      <c r="Q18" s="9">
        <f t="shared" si="3"/>
        <v>76.688827601678383</v>
      </c>
      <c r="R18" s="9">
        <f t="shared" si="3"/>
        <v>100.66727360858197</v>
      </c>
      <c r="S18" s="16"/>
      <c r="T18" s="9">
        <f t="shared" si="4"/>
        <v>162.1273061335514</v>
      </c>
      <c r="U18" s="9">
        <f t="shared" si="4"/>
        <v>241.32957266827751</v>
      </c>
      <c r="V18" s="9">
        <f t="shared" si="4"/>
        <v>76.688827601678383</v>
      </c>
      <c r="W18" s="9">
        <f t="shared" si="4"/>
        <v>100.66727360858197</v>
      </c>
      <c r="X18" s="16"/>
      <c r="Y18" s="9">
        <f t="shared" si="5"/>
        <v>159.37193549822098</v>
      </c>
      <c r="Z18" s="9">
        <f t="shared" si="5"/>
        <v>178.04505100306517</v>
      </c>
      <c r="AA18" s="9">
        <f t="shared" si="5"/>
        <v>100.66727360858197</v>
      </c>
      <c r="AB18" s="16"/>
      <c r="AC18" s="9">
        <f t="shared" si="6"/>
        <v>81.280331394832544</v>
      </c>
      <c r="AD18" s="9">
        <f t="shared" si="6"/>
        <v>85.806428687109744</v>
      </c>
      <c r="AE18" s="9">
        <f t="shared" si="6"/>
        <v>50.30952171172185</v>
      </c>
      <c r="AF18" s="9">
        <f t="shared" si="6"/>
        <v>48.223513259595542</v>
      </c>
      <c r="AG18" s="9">
        <f t="shared" si="6"/>
        <v>52.134275711626941</v>
      </c>
      <c r="AH18" s="9">
        <f t="shared" si="6"/>
        <v>124.21333009947399</v>
      </c>
      <c r="AJ18" s="34"/>
      <c r="AK18" s="34"/>
    </row>
    <row r="19" spans="2:37" ht="14.1" customHeight="1">
      <c r="B19" s="106" t="s">
        <v>478</v>
      </c>
      <c r="C19" s="2"/>
      <c r="D19" s="2"/>
      <c r="E19" s="2"/>
      <c r="F19" s="41">
        <f t="shared" si="1"/>
        <v>172.04768759967911</v>
      </c>
      <c r="G19" s="41">
        <f t="shared" si="1"/>
        <v>230.17067821244916</v>
      </c>
      <c r="H19" s="41">
        <f t="shared" si="1"/>
        <v>100.43777768381588</v>
      </c>
      <c r="I19" s="136"/>
      <c r="J19" s="41">
        <f t="shared" si="2"/>
        <v>43.231719912978036</v>
      </c>
      <c r="K19" s="41">
        <f t="shared" si="2"/>
        <v>35.602931406881908</v>
      </c>
      <c r="L19" s="41">
        <f t="shared" si="2"/>
        <v>52.405414834201615</v>
      </c>
      <c r="M19" s="136"/>
      <c r="N19" s="41">
        <f t="shared" si="3"/>
        <v>121.50773490633088</v>
      </c>
      <c r="O19" s="9">
        <f t="shared" si="3"/>
        <v>256.0962541102071</v>
      </c>
      <c r="P19" s="9">
        <f t="shared" si="3"/>
        <v>36.505576844409461</v>
      </c>
      <c r="Q19" s="9">
        <f t="shared" si="3"/>
        <v>56.166918514615894</v>
      </c>
      <c r="R19" s="9">
        <f t="shared" si="3"/>
        <v>100.43777768381585</v>
      </c>
      <c r="S19" s="2"/>
      <c r="T19" s="9">
        <f t="shared" si="4"/>
        <v>162.15976348582299</v>
      </c>
      <c r="U19" s="9">
        <f t="shared" si="4"/>
        <v>256.0962541102071</v>
      </c>
      <c r="V19" s="9">
        <f t="shared" si="4"/>
        <v>56.166918514615894</v>
      </c>
      <c r="W19" s="9">
        <f t="shared" si="4"/>
        <v>100.43777768381588</v>
      </c>
      <c r="X19" s="2"/>
      <c r="Y19" s="9">
        <f t="shared" si="5"/>
        <v>163.55503996550533</v>
      </c>
      <c r="Z19" s="9">
        <f t="shared" si="5"/>
        <v>183.63174070779422</v>
      </c>
      <c r="AA19" s="9">
        <f t="shared" si="5"/>
        <v>100.43777768381588</v>
      </c>
      <c r="AB19" s="2"/>
      <c r="AC19" s="9">
        <f t="shared" si="6"/>
        <v>70.137540936374577</v>
      </c>
      <c r="AD19" s="9">
        <f t="shared" si="6"/>
        <v>90.547792787666353</v>
      </c>
      <c r="AE19" s="9">
        <f t="shared" si="6"/>
        <v>33.570775049236865</v>
      </c>
      <c r="AF19" s="9">
        <f t="shared" si="6"/>
        <v>35.602931406881901</v>
      </c>
      <c r="AG19" s="9">
        <f t="shared" si="6"/>
        <v>31.793128636411687</v>
      </c>
      <c r="AH19" s="10">
        <f t="shared" si="6"/>
        <v>109.02995283037269</v>
      </c>
      <c r="AJ19" s="34"/>
      <c r="AK19" s="34"/>
    </row>
    <row r="20" spans="2:37" ht="14.1" customHeight="1">
      <c r="B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  <c r="AJ20" s="34"/>
      <c r="AK20" s="34"/>
    </row>
    <row r="21" spans="2:37" ht="14.1" customHeight="1">
      <c r="B21" s="5"/>
      <c r="C21" s="2"/>
      <c r="D21" s="2"/>
      <c r="E21" s="2"/>
      <c r="F21" s="29" t="s">
        <v>506</v>
      </c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G21" s="8" t="s">
        <v>507</v>
      </c>
      <c r="AJ21" s="34"/>
      <c r="AK21" s="34"/>
    </row>
    <row r="22" spans="2:37" ht="14.1" customHeight="1">
      <c r="B22" s="5" t="s">
        <v>558</v>
      </c>
      <c r="C22" s="86"/>
      <c r="D22" s="86"/>
      <c r="E22" s="86"/>
      <c r="F22" s="5" t="s">
        <v>559</v>
      </c>
      <c r="G22" s="5" t="s">
        <v>373</v>
      </c>
      <c r="H22" s="5">
        <v>2</v>
      </c>
      <c r="I22" s="5"/>
      <c r="J22" s="5">
        <v>3</v>
      </c>
      <c r="K22" s="5">
        <v>4</v>
      </c>
      <c r="L22" s="5">
        <v>5</v>
      </c>
      <c r="M22" s="5"/>
      <c r="N22" s="5">
        <v>6</v>
      </c>
      <c r="O22" s="5">
        <v>7</v>
      </c>
      <c r="P22" s="5">
        <v>8</v>
      </c>
      <c r="Q22" s="5">
        <v>9</v>
      </c>
      <c r="R22" s="5">
        <v>10</v>
      </c>
      <c r="S22" s="5"/>
      <c r="T22" s="5">
        <v>11</v>
      </c>
      <c r="U22" s="5">
        <v>12</v>
      </c>
      <c r="V22" s="5">
        <v>13</v>
      </c>
      <c r="W22" s="5">
        <v>14</v>
      </c>
      <c r="X22" s="5"/>
      <c r="Y22" s="5">
        <v>15</v>
      </c>
      <c r="Z22" s="5">
        <v>16</v>
      </c>
      <c r="AA22" s="5">
        <v>17</v>
      </c>
      <c r="AB22" s="5"/>
      <c r="AC22" s="5">
        <v>18</v>
      </c>
      <c r="AD22" s="5">
        <v>19</v>
      </c>
      <c r="AE22" s="122" t="s">
        <v>510</v>
      </c>
      <c r="AG22" s="5" t="s">
        <v>511</v>
      </c>
      <c r="AJ22" s="34"/>
      <c r="AK22" s="34"/>
    </row>
    <row r="23" spans="2:37" ht="14.1" customHeight="1">
      <c r="B23" s="8">
        <v>2015</v>
      </c>
      <c r="F23" s="9">
        <f>SUM(G23:AE23)</f>
        <v>10342.3419624</v>
      </c>
      <c r="G23" s="9">
        <v>125.12</v>
      </c>
      <c r="H23" s="9">
        <v>152.846</v>
      </c>
      <c r="I23" s="9"/>
      <c r="J23" s="9">
        <v>155.81800000000001</v>
      </c>
      <c r="K23" s="9">
        <v>187.87464800000004</v>
      </c>
      <c r="L23" s="9">
        <v>275.09533120000003</v>
      </c>
      <c r="M23" s="9"/>
      <c r="N23" s="9">
        <v>441.60016720000004</v>
      </c>
      <c r="O23" s="9">
        <v>688.91927360000011</v>
      </c>
      <c r="P23" s="9">
        <v>952.68393360000005</v>
      </c>
      <c r="Q23" s="9">
        <v>1283.0745584000001</v>
      </c>
      <c r="R23" s="9">
        <v>1569.2706584000002</v>
      </c>
      <c r="S23" s="9"/>
      <c r="T23" s="9">
        <v>1543.0973488</v>
      </c>
      <c r="U23" s="9">
        <v>1229.1642455999997</v>
      </c>
      <c r="V23" s="9">
        <v>679.21071119999999</v>
      </c>
      <c r="W23" s="9">
        <v>281.75239600000003</v>
      </c>
      <c r="X23" s="9"/>
      <c r="Y23" s="9">
        <v>180.00878799999998</v>
      </c>
      <c r="Z23" s="9">
        <v>152.03903999999997</v>
      </c>
      <c r="AA23" s="9">
        <v>123.28037839999999</v>
      </c>
      <c r="AB23" s="9"/>
      <c r="AC23" s="9">
        <v>97.053370399999991</v>
      </c>
      <c r="AD23" s="9">
        <v>120.86067680000001</v>
      </c>
      <c r="AE23" s="9">
        <v>103.57243680000002</v>
      </c>
      <c r="AG23" s="9">
        <v>13380.111302381201</v>
      </c>
      <c r="AJ23" s="34"/>
      <c r="AK23" s="34"/>
    </row>
    <row r="24" spans="2:37" ht="14.1" customHeight="1">
      <c r="B24" s="8">
        <v>2020</v>
      </c>
      <c r="F24" s="9">
        <f>SUM(G24:AE24)</f>
        <v>10167.550864428937</v>
      </c>
      <c r="G24" s="9">
        <f>Y11*5</f>
        <v>161.75704607714556</v>
      </c>
      <c r="H24" s="9">
        <f>G23-H40</f>
        <v>125.12</v>
      </c>
      <c r="I24" s="9"/>
      <c r="J24" s="9">
        <f>H23-J40</f>
        <v>152.846</v>
      </c>
      <c r="K24" s="9">
        <f t="shared" ref="K24:L26" si="7">J23-K40</f>
        <v>155.81800000000001</v>
      </c>
      <c r="L24" s="9">
        <f t="shared" si="7"/>
        <v>187.87464800000004</v>
      </c>
      <c r="M24" s="9"/>
      <c r="N24" s="9">
        <f>L23-N40</f>
        <v>275.09533120000003</v>
      </c>
      <c r="O24" s="9">
        <f t="shared" ref="O24:R26" si="8">N23-O40</f>
        <v>441.60016720000004</v>
      </c>
      <c r="P24" s="9">
        <f t="shared" si="8"/>
        <v>688.91927360000011</v>
      </c>
      <c r="Q24" s="9">
        <f t="shared" si="8"/>
        <v>952.68393360000005</v>
      </c>
      <c r="R24" s="9">
        <f t="shared" si="8"/>
        <v>1238.8084861352002</v>
      </c>
      <c r="S24" s="9"/>
      <c r="T24" s="9">
        <f>R23-T40</f>
        <v>1515.1308206852002</v>
      </c>
      <c r="U24" s="9">
        <f t="shared" ref="U24:W26" si="9">T23-U40</f>
        <v>1472.8246955356481</v>
      </c>
      <c r="V24" s="9">
        <f t="shared" si="9"/>
        <v>1159.6181325839518</v>
      </c>
      <c r="W24" s="9">
        <f t="shared" si="9"/>
        <v>640.78096916030404</v>
      </c>
      <c r="X24" s="9"/>
      <c r="Y24" s="9">
        <f>W23-Y40</f>
        <v>265.81084543432002</v>
      </c>
      <c r="Z24" s="9">
        <f t="shared" ref="Z24:AA26" si="10">Y23-Z40</f>
        <v>169.82389077495998</v>
      </c>
      <c r="AA24" s="9">
        <f t="shared" si="10"/>
        <v>143.43667111679997</v>
      </c>
      <c r="AB24" s="9"/>
      <c r="AC24" s="9">
        <f>AA23-AC40</f>
        <v>116.30517459012799</v>
      </c>
      <c r="AD24" s="9">
        <f>AC23-AD40</f>
        <v>91.562090702767989</v>
      </c>
      <c r="AE24" s="9">
        <f>AD23+AE23-AE40</f>
        <v>211.734688032512</v>
      </c>
      <c r="AG24" s="9">
        <f>AG23-AA11*5</f>
        <v>13349.608032482856</v>
      </c>
      <c r="AJ24" s="34"/>
      <c r="AK24" s="34"/>
    </row>
    <row r="25" spans="2:37" ht="14.1" customHeight="1">
      <c r="B25" s="8">
        <v>2025</v>
      </c>
      <c r="F25" s="9">
        <f>SUM(G25:AE25)</f>
        <v>9933.3066089373951</v>
      </c>
      <c r="G25" s="9">
        <f>Y12*5</f>
        <v>199.65408163778406</v>
      </c>
      <c r="H25" s="9">
        <f>G24-H41</f>
        <v>161.75704607714556</v>
      </c>
      <c r="I25" s="9"/>
      <c r="J25" s="9">
        <f>H24-J41</f>
        <v>125.12</v>
      </c>
      <c r="K25" s="9">
        <f t="shared" si="7"/>
        <v>152.846</v>
      </c>
      <c r="L25" s="9">
        <f t="shared" si="7"/>
        <v>155.81800000000001</v>
      </c>
      <c r="M25" s="9"/>
      <c r="N25" s="9">
        <f>L24-N41</f>
        <v>187.87464800000004</v>
      </c>
      <c r="O25" s="9">
        <f t="shared" si="8"/>
        <v>275.09533120000003</v>
      </c>
      <c r="P25" s="9">
        <f t="shared" si="8"/>
        <v>441.60016720000004</v>
      </c>
      <c r="Q25" s="9">
        <f t="shared" si="8"/>
        <v>688.91927360000011</v>
      </c>
      <c r="R25" s="9">
        <f t="shared" si="8"/>
        <v>915.76743117300009</v>
      </c>
      <c r="S25" s="9"/>
      <c r="T25" s="9">
        <f>R24-T41</f>
        <v>1190.8046572974611</v>
      </c>
      <c r="U25" s="9">
        <f t="shared" si="9"/>
        <v>1437.6318792071522</v>
      </c>
      <c r="V25" s="9">
        <f t="shared" si="9"/>
        <v>1379.2266861343576</v>
      </c>
      <c r="W25" s="9">
        <f t="shared" si="9"/>
        <v>1085.9244002582416</v>
      </c>
      <c r="X25" s="9"/>
      <c r="Y25" s="9">
        <f>W24-Y41</f>
        <v>600.05933857016669</v>
      </c>
      <c r="Z25" s="9">
        <f t="shared" si="10"/>
        <v>248.91856620696899</v>
      </c>
      <c r="AA25" s="9">
        <f t="shared" si="10"/>
        <v>159.03158251621127</v>
      </c>
      <c r="AB25" s="9"/>
      <c r="AC25" s="9">
        <f>AA24-AC41</f>
        <v>134.32127066732733</v>
      </c>
      <c r="AD25" s="9">
        <f>AC24-AD41</f>
        <v>108.91398074492535</v>
      </c>
      <c r="AE25" s="9">
        <f>AD24+AE24-AE41</f>
        <v>284.02226844665296</v>
      </c>
      <c r="AG25" s="9">
        <f>AG24-AA12*5</f>
        <v>13319.174302325509</v>
      </c>
      <c r="AJ25" s="34"/>
      <c r="AK25" s="34"/>
    </row>
    <row r="26" spans="2:37" ht="13.5" customHeight="1">
      <c r="B26" s="8">
        <v>2030</v>
      </c>
      <c r="F26" s="9">
        <f>SUM(G26:AE26)</f>
        <v>9690.6879181565491</v>
      </c>
      <c r="G26" s="9">
        <f>Y13*5</f>
        <v>204.89448910475551</v>
      </c>
      <c r="H26" s="9">
        <f>G25-H42</f>
        <v>199.65408163778406</v>
      </c>
      <c r="I26" s="9"/>
      <c r="J26" s="9">
        <f>H25-J42</f>
        <v>161.75704607714556</v>
      </c>
      <c r="K26" s="9">
        <f t="shared" si="7"/>
        <v>125.12</v>
      </c>
      <c r="L26" s="9">
        <f t="shared" si="7"/>
        <v>152.846</v>
      </c>
      <c r="M26" s="9"/>
      <c r="N26" s="9">
        <f>L25-N42</f>
        <v>155.81800000000001</v>
      </c>
      <c r="O26" s="9">
        <f t="shared" si="8"/>
        <v>187.87464800000004</v>
      </c>
      <c r="P26" s="9">
        <f t="shared" si="8"/>
        <v>275.09533120000003</v>
      </c>
      <c r="Q26" s="9">
        <f t="shared" si="8"/>
        <v>441.60016720000004</v>
      </c>
      <c r="R26" s="9">
        <f t="shared" si="8"/>
        <v>663.4292604768001</v>
      </c>
      <c r="S26" s="9"/>
      <c r="T26" s="9">
        <f>R25-T42</f>
        <v>881.88403621959912</v>
      </c>
      <c r="U26" s="9">
        <f t="shared" si="9"/>
        <v>1132.645757835053</v>
      </c>
      <c r="V26" s="9">
        <f t="shared" si="9"/>
        <v>1350.3963767768623</v>
      </c>
      <c r="W26" s="9">
        <f t="shared" si="9"/>
        <v>1295.5352108197249</v>
      </c>
      <c r="X26" s="9"/>
      <c r="Y26" s="9">
        <f>W25-Y42</f>
        <v>1020.0305076505715</v>
      </c>
      <c r="Z26" s="9">
        <f t="shared" si="10"/>
        <v>563.64773790572895</v>
      </c>
      <c r="AA26" s="9">
        <f t="shared" si="10"/>
        <v>233.81418760953011</v>
      </c>
      <c r="AB26" s="9"/>
      <c r="AC26" s="9">
        <f>AA25-AC42</f>
        <v>149.38154608912757</v>
      </c>
      <c r="AD26" s="9">
        <f>AC25-AD42</f>
        <v>126.1706559632339</v>
      </c>
      <c r="AE26" s="9">
        <f>AD25+AE25-AE42</f>
        <v>369.09287759063335</v>
      </c>
      <c r="AF26" s="16"/>
      <c r="AG26" s="9">
        <f>AG25-AA13*5</f>
        <v>13288.809953376138</v>
      </c>
      <c r="AJ26" s="34"/>
      <c r="AK26" s="34"/>
    </row>
    <row r="27" spans="2:37" ht="14.1" customHeight="1"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6"/>
      <c r="AG27" s="131"/>
      <c r="AJ27" s="34"/>
      <c r="AK27" s="34"/>
    </row>
    <row r="28" spans="2:37" ht="14.1" customHeight="1">
      <c r="B28" s="2" t="s">
        <v>676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J28" s="34"/>
      <c r="AK28" s="34"/>
    </row>
    <row r="29" spans="2:37" ht="14.1" customHeight="1">
      <c r="B29" s="2"/>
      <c r="C29" s="2"/>
      <c r="D29" s="2"/>
      <c r="E29" s="2"/>
      <c r="F29" s="10"/>
      <c r="G29" s="10">
        <v>2.5418159173657018</v>
      </c>
      <c r="H29" s="10">
        <v>19.218561545119258</v>
      </c>
      <c r="I29" s="10"/>
      <c r="J29" s="10">
        <v>59.444086449388855</v>
      </c>
      <c r="K29" s="10">
        <v>101.70554101675621</v>
      </c>
      <c r="L29" s="10">
        <v>142.42039829131841</v>
      </c>
      <c r="M29" s="10"/>
      <c r="N29" s="10">
        <v>184.11789616923113</v>
      </c>
      <c r="O29" s="10">
        <v>225.67870510384969</v>
      </c>
      <c r="P29" s="10">
        <v>265.8357076285314</v>
      </c>
      <c r="Q29" s="10">
        <v>300.60734949120643</v>
      </c>
      <c r="R29" s="10">
        <v>327.38597497518919</v>
      </c>
      <c r="S29" s="10"/>
      <c r="T29" s="10">
        <v>352.81287703595541</v>
      </c>
      <c r="U29" s="10">
        <v>377.04846730620136</v>
      </c>
      <c r="V29" s="10">
        <v>401.04600296498791</v>
      </c>
      <c r="W29" s="10">
        <v>427.85009027580855</v>
      </c>
      <c r="X29" s="10"/>
      <c r="Y29" s="10">
        <v>443.15125803055139</v>
      </c>
      <c r="Z29" s="10">
        <v>443.15125803055139</v>
      </c>
      <c r="AA29" s="10">
        <v>443.15125803055139</v>
      </c>
      <c r="AB29" s="10"/>
      <c r="AC29" s="10">
        <v>443.15125803055139</v>
      </c>
      <c r="AD29" s="10">
        <v>443.15125803055139</v>
      </c>
      <c r="AE29" s="10">
        <v>443.15125803055139</v>
      </c>
      <c r="AJ29" s="34"/>
      <c r="AK29" s="34"/>
    </row>
    <row r="30" spans="2:37" ht="14.1" customHeight="1">
      <c r="B30" s="16"/>
      <c r="C30" s="16"/>
      <c r="D30" s="16"/>
      <c r="E30" s="16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J30" s="34"/>
      <c r="AK30" s="34"/>
    </row>
    <row r="31" spans="2:37" ht="14.1" customHeight="1">
      <c r="B31" t="s">
        <v>697</v>
      </c>
      <c r="AJ31" s="34"/>
      <c r="AK31" s="34"/>
    </row>
    <row r="32" spans="2:37" ht="14.1" customHeight="1">
      <c r="AJ32" s="34"/>
      <c r="AK32" s="34"/>
    </row>
    <row r="33" spans="1:37" ht="14.1" customHeight="1">
      <c r="AJ33" s="34"/>
      <c r="AK33" s="34"/>
    </row>
    <row r="34" spans="1:37">
      <c r="AJ34" s="34"/>
      <c r="AK34" s="34"/>
    </row>
    <row r="35" spans="1:37">
      <c r="AJ35" s="34"/>
      <c r="AK35" s="34"/>
    </row>
    <row r="36" spans="1:37" hidden="1">
      <c r="A36" s="153" t="s">
        <v>516</v>
      </c>
      <c r="B36" s="34" t="s">
        <v>517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</row>
    <row r="37" spans="1:37" hidden="1">
      <c r="A37" s="34"/>
      <c r="B37" s="156"/>
      <c r="C37" s="156"/>
      <c r="D37" s="156"/>
      <c r="E37" s="156"/>
      <c r="F37" s="156" t="s">
        <v>518</v>
      </c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34"/>
      <c r="AG37" s="34"/>
      <c r="AH37" s="34"/>
      <c r="AI37" s="34"/>
      <c r="AJ37" s="34"/>
      <c r="AK37" s="34"/>
    </row>
    <row r="38" spans="1:37" ht="14.1" hidden="1" customHeight="1">
      <c r="A38" s="34"/>
      <c r="B38" s="167" t="s">
        <v>508</v>
      </c>
      <c r="C38" s="168"/>
      <c r="D38" s="168"/>
      <c r="E38" s="156"/>
      <c r="F38" s="169" t="s">
        <v>372</v>
      </c>
      <c r="G38" s="169" t="s">
        <v>373</v>
      </c>
      <c r="H38" s="169">
        <v>2</v>
      </c>
      <c r="I38" s="169"/>
      <c r="J38" s="169">
        <v>3</v>
      </c>
      <c r="K38" s="169">
        <v>4</v>
      </c>
      <c r="L38" s="169">
        <v>5</v>
      </c>
      <c r="M38" s="169"/>
      <c r="N38" s="169">
        <v>6</v>
      </c>
      <c r="O38" s="169">
        <v>7</v>
      </c>
      <c r="P38" s="169">
        <v>8</v>
      </c>
      <c r="Q38" s="169">
        <v>9</v>
      </c>
      <c r="R38" s="169">
        <v>10</v>
      </c>
      <c r="S38" s="169"/>
      <c r="T38" s="169">
        <v>11</v>
      </c>
      <c r="U38" s="169">
        <v>12</v>
      </c>
      <c r="V38" s="169">
        <v>13</v>
      </c>
      <c r="W38" s="169">
        <v>14</v>
      </c>
      <c r="X38" s="169"/>
      <c r="Y38" s="169">
        <v>15</v>
      </c>
      <c r="Z38" s="169">
        <v>16</v>
      </c>
      <c r="AA38" s="169">
        <v>17</v>
      </c>
      <c r="AB38" s="169"/>
      <c r="AC38" s="169">
        <v>18</v>
      </c>
      <c r="AD38" s="169">
        <v>19</v>
      </c>
      <c r="AE38" s="169" t="s">
        <v>510</v>
      </c>
      <c r="AF38" s="34"/>
      <c r="AG38" s="34"/>
      <c r="AH38" s="34"/>
      <c r="AI38" s="34"/>
      <c r="AJ38" s="34"/>
      <c r="AK38" s="34"/>
    </row>
    <row r="39" spans="1:37" ht="14.1" hidden="1" customHeight="1">
      <c r="A39" s="34"/>
      <c r="B39" s="170" t="s">
        <v>520</v>
      </c>
      <c r="C39" s="34"/>
      <c r="D39" s="34"/>
      <c r="E39" s="34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4"/>
      <c r="AG39" s="34"/>
      <c r="AH39" s="34"/>
      <c r="AI39" s="34"/>
      <c r="AJ39" s="34"/>
      <c r="AK39" s="34"/>
    </row>
    <row r="40" spans="1:37" ht="14.1" hidden="1" customHeight="1">
      <c r="A40" s="34"/>
      <c r="B40" s="171" t="s">
        <v>476</v>
      </c>
      <c r="C40" s="34"/>
      <c r="D40" s="34"/>
      <c r="E40" s="34"/>
      <c r="F40" s="172">
        <f>SUM(G40:AE40)</f>
        <v>336.54814404820803</v>
      </c>
      <c r="G40" s="172">
        <f t="shared" ref="G40:H42" si="11">F23*G$59*$D11*5</f>
        <v>0</v>
      </c>
      <c r="H40" s="172">
        <f t="shared" si="11"/>
        <v>0</v>
      </c>
      <c r="I40" s="172"/>
      <c r="J40" s="172">
        <f>H23*J$59*$D11*5</f>
        <v>0</v>
      </c>
      <c r="K40" s="172">
        <f t="shared" ref="K40:L42" si="12">J23*K$59*$D11*5</f>
        <v>0</v>
      </c>
      <c r="L40" s="172">
        <f t="shared" si="12"/>
        <v>0</v>
      </c>
      <c r="M40" s="172"/>
      <c r="N40" s="172">
        <f>L23*N$59*$D11*5</f>
        <v>0</v>
      </c>
      <c r="O40" s="172">
        <f t="shared" ref="O40:R42" si="13">N23*O$59*$D11*5</f>
        <v>0</v>
      </c>
      <c r="P40" s="172">
        <f t="shared" si="13"/>
        <v>0</v>
      </c>
      <c r="Q40" s="172">
        <f t="shared" si="13"/>
        <v>0</v>
      </c>
      <c r="R40" s="172">
        <f t="shared" si="13"/>
        <v>44.266072264800002</v>
      </c>
      <c r="S40" s="172"/>
      <c r="T40" s="172">
        <f>R23*T$59*$D11*5</f>
        <v>54.139837714800009</v>
      </c>
      <c r="U40" s="172">
        <f t="shared" ref="U40:W42" si="14">T23*U$59*$D11*5</f>
        <v>70.272653264351987</v>
      </c>
      <c r="V40" s="172">
        <f t="shared" si="14"/>
        <v>69.546113016047983</v>
      </c>
      <c r="W40" s="172">
        <f t="shared" si="14"/>
        <v>38.429742039695995</v>
      </c>
      <c r="X40" s="172"/>
      <c r="Y40" s="172">
        <f>W23*Y$59*$D11*5</f>
        <v>15.94155056568</v>
      </c>
      <c r="Z40" s="172">
        <f t="shared" ref="Z40:AA42" si="15">Y23*Z$59*$D11*5</f>
        <v>10.18489722504</v>
      </c>
      <c r="AA40" s="172">
        <f t="shared" si="15"/>
        <v>8.6023688831999969</v>
      </c>
      <c r="AB40" s="172"/>
      <c r="AC40" s="172">
        <f>AA23*AC$59*$D11*5</f>
        <v>6.9752038098720002</v>
      </c>
      <c r="AD40" s="172">
        <f>AC23*AD$59*$D11*5</f>
        <v>5.4912796972319997</v>
      </c>
      <c r="AE40" s="172">
        <f>(AD23+AE23)*AE$59*$D11*5</f>
        <v>12.698425567488002</v>
      </c>
      <c r="AF40" s="34"/>
      <c r="AG40" s="34"/>
      <c r="AH40" s="34"/>
      <c r="AI40" s="34"/>
      <c r="AJ40" s="34"/>
      <c r="AK40" s="34"/>
    </row>
    <row r="41" spans="1:37" ht="14.1" hidden="1" customHeight="1">
      <c r="A41" s="34"/>
      <c r="B41" s="171" t="s">
        <v>477</v>
      </c>
      <c r="C41" s="34"/>
      <c r="D41" s="34"/>
      <c r="E41" s="34"/>
      <c r="F41" s="172">
        <f>SUM(G41:AE41)</f>
        <v>433.89833712932705</v>
      </c>
      <c r="G41" s="172">
        <f t="shared" si="11"/>
        <v>0</v>
      </c>
      <c r="H41" s="172">
        <f t="shared" si="11"/>
        <v>0</v>
      </c>
      <c r="I41" s="172"/>
      <c r="J41" s="172">
        <f>H24*J$59*$D12*5</f>
        <v>0</v>
      </c>
      <c r="K41" s="172">
        <f t="shared" si="12"/>
        <v>0</v>
      </c>
      <c r="L41" s="172">
        <f t="shared" si="12"/>
        <v>0</v>
      </c>
      <c r="M41" s="172"/>
      <c r="N41" s="172">
        <f>L24*N$59*$D12*5</f>
        <v>0</v>
      </c>
      <c r="O41" s="172">
        <f t="shared" si="13"/>
        <v>0</v>
      </c>
      <c r="P41" s="172">
        <f t="shared" si="13"/>
        <v>0</v>
      </c>
      <c r="Q41" s="172">
        <f t="shared" si="13"/>
        <v>0</v>
      </c>
      <c r="R41" s="172">
        <f t="shared" si="13"/>
        <v>36.916502427000005</v>
      </c>
      <c r="S41" s="172"/>
      <c r="T41" s="172">
        <f>R24*T$59*$D12*5</f>
        <v>48.003828837739007</v>
      </c>
      <c r="U41" s="172">
        <f t="shared" si="14"/>
        <v>77.498941478047996</v>
      </c>
      <c r="V41" s="172">
        <f t="shared" si="14"/>
        <v>93.598009401290454</v>
      </c>
      <c r="W41" s="172">
        <f t="shared" si="14"/>
        <v>73.693732325710144</v>
      </c>
      <c r="X41" s="172"/>
      <c r="Y41" s="172">
        <f>W24*Y$59*$D12*5</f>
        <v>40.721630590137323</v>
      </c>
      <c r="Z41" s="172">
        <f t="shared" si="15"/>
        <v>16.89227922735104</v>
      </c>
      <c r="AA41" s="172">
        <f t="shared" si="15"/>
        <v>10.792308258748708</v>
      </c>
      <c r="AB41" s="172"/>
      <c r="AC41" s="172">
        <f>AA24*AC$59*$D12*5</f>
        <v>9.1154004494726379</v>
      </c>
      <c r="AD41" s="172">
        <f>AC24*AD$59*$D12*5</f>
        <v>7.3911938452026336</v>
      </c>
      <c r="AE41" s="172">
        <f>(AD24+AE24)*AE$59*$D12*5</f>
        <v>19.274510288627045</v>
      </c>
      <c r="AF41" s="34"/>
      <c r="AG41" s="34"/>
      <c r="AH41" s="34"/>
      <c r="AI41" s="34"/>
      <c r="AJ41" s="34"/>
      <c r="AK41" s="34"/>
    </row>
    <row r="42" spans="1:37" ht="14.1" hidden="1" customHeight="1">
      <c r="A42" s="34"/>
      <c r="B42" s="171" t="s">
        <v>478</v>
      </c>
      <c r="C42" s="34"/>
      <c r="D42" s="34"/>
      <c r="E42" s="34"/>
      <c r="F42" s="172">
        <f>SUM(G42:AE42)</f>
        <v>447.51317988560066</v>
      </c>
      <c r="G42" s="172">
        <f t="shared" si="11"/>
        <v>0</v>
      </c>
      <c r="H42" s="172">
        <f t="shared" si="11"/>
        <v>0</v>
      </c>
      <c r="I42" s="172"/>
      <c r="J42" s="172">
        <f>H25*J$59*$D13*5</f>
        <v>0</v>
      </c>
      <c r="K42" s="172">
        <f t="shared" si="12"/>
        <v>0</v>
      </c>
      <c r="L42" s="172">
        <f t="shared" si="12"/>
        <v>0</v>
      </c>
      <c r="M42" s="172"/>
      <c r="N42" s="172">
        <f>L25*N$59*$D13*5</f>
        <v>0</v>
      </c>
      <c r="O42" s="172">
        <f t="shared" si="13"/>
        <v>0</v>
      </c>
      <c r="P42" s="172">
        <f t="shared" si="13"/>
        <v>0</v>
      </c>
      <c r="Q42" s="172">
        <f t="shared" si="13"/>
        <v>0</v>
      </c>
      <c r="R42" s="172">
        <f t="shared" si="13"/>
        <v>25.490013123200001</v>
      </c>
      <c r="S42" s="172"/>
      <c r="T42" s="172">
        <f>R25*T$59*$D13*5</f>
        <v>33.883394953401009</v>
      </c>
      <c r="U42" s="172">
        <f t="shared" si="14"/>
        <v>58.158899462408002</v>
      </c>
      <c r="V42" s="172">
        <f t="shared" si="14"/>
        <v>87.235502430290012</v>
      </c>
      <c r="W42" s="172">
        <f t="shared" si="14"/>
        <v>83.691475314632825</v>
      </c>
      <c r="X42" s="172"/>
      <c r="Y42" s="172">
        <f>W25*Y$59*$D13*5</f>
        <v>65.893892607670097</v>
      </c>
      <c r="Z42" s="172">
        <f t="shared" si="15"/>
        <v>36.411600664437721</v>
      </c>
      <c r="AA42" s="172">
        <f t="shared" si="15"/>
        <v>15.104378597438879</v>
      </c>
      <c r="AB42" s="172"/>
      <c r="AC42" s="172">
        <f>AA25*AC$59*$D13*5</f>
        <v>9.6500364270837</v>
      </c>
      <c r="AD42" s="172">
        <f>AC25*AD$59*$D13*5</f>
        <v>8.1506147040934227</v>
      </c>
      <c r="AE42" s="172">
        <f>(AD25+AE25)*AE$59*$D13*5</f>
        <v>23.843371600944977</v>
      </c>
      <c r="AF42" s="34"/>
      <c r="AG42" s="34"/>
      <c r="AH42" s="34"/>
      <c r="AI42" s="34"/>
      <c r="AJ42" s="34"/>
      <c r="AK42" s="34"/>
    </row>
    <row r="43" spans="1:37" ht="14.1" hidden="1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</row>
    <row r="44" spans="1:37" ht="14.1" hidden="1" customHeight="1">
      <c r="A44" s="34"/>
      <c r="B44" s="156"/>
      <c r="C44" s="156"/>
      <c r="D44" s="156"/>
      <c r="E44" s="156"/>
      <c r="F44" s="156" t="s">
        <v>521</v>
      </c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56"/>
      <c r="U44" s="156"/>
      <c r="V44" s="156"/>
      <c r="W44" s="156"/>
      <c r="X44" s="156"/>
      <c r="Y44" s="156"/>
      <c r="Z44" s="156"/>
      <c r="AA44" s="156"/>
      <c r="AB44" s="156"/>
      <c r="AC44" s="156"/>
      <c r="AD44" s="156"/>
      <c r="AE44" s="156"/>
      <c r="AF44" s="34"/>
      <c r="AG44" s="34"/>
      <c r="AH44" s="34"/>
      <c r="AI44" s="34"/>
      <c r="AJ44" s="34"/>
      <c r="AK44" s="34"/>
    </row>
    <row r="45" spans="1:37" ht="14.1" hidden="1" customHeight="1">
      <c r="A45" s="34"/>
      <c r="B45" s="170" t="s">
        <v>520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</row>
    <row r="46" spans="1:37" ht="14.1" hidden="1" customHeight="1">
      <c r="A46" s="34"/>
      <c r="B46" s="171" t="s">
        <v>476</v>
      </c>
      <c r="C46" s="34"/>
      <c r="D46" s="34"/>
      <c r="E46" s="34"/>
      <c r="F46" s="172">
        <f>SUM(G46:AE46)</f>
        <v>974.44702363920032</v>
      </c>
      <c r="G46" s="172">
        <f t="shared" ref="G46:H48" si="16">F23*G$60*5</f>
        <v>0</v>
      </c>
      <c r="H46" s="172">
        <f t="shared" si="16"/>
        <v>0</v>
      </c>
      <c r="I46" s="172"/>
      <c r="J46" s="172">
        <f>H23*J$60*5</f>
        <v>0</v>
      </c>
      <c r="K46" s="172">
        <f t="shared" ref="K46:L48" si="17">J23*K$60*5</f>
        <v>0</v>
      </c>
      <c r="L46" s="172">
        <f t="shared" si="17"/>
        <v>102.76743245600002</v>
      </c>
      <c r="M46" s="172"/>
      <c r="N46" s="172">
        <f>L23*N$60*5</f>
        <v>150.47714616640005</v>
      </c>
      <c r="O46" s="172">
        <f t="shared" ref="O46:R48" si="18">N23*O$60*5</f>
        <v>241.55529145840006</v>
      </c>
      <c r="P46" s="172">
        <f t="shared" si="18"/>
        <v>112.98276087040003</v>
      </c>
      <c r="Q46" s="172">
        <f t="shared" si="18"/>
        <v>156.24016511040003</v>
      </c>
      <c r="R46" s="172">
        <f t="shared" si="18"/>
        <v>210.42422757760005</v>
      </c>
      <c r="S46" s="172"/>
      <c r="T46" s="172">
        <f>R23*T$60*5</f>
        <v>0</v>
      </c>
      <c r="U46" s="172">
        <f t="shared" ref="U46:W48" si="19">T23*U$60*5</f>
        <v>0</v>
      </c>
      <c r="V46" s="172">
        <f t="shared" si="19"/>
        <v>0</v>
      </c>
      <c r="W46" s="172">
        <f t="shared" si="19"/>
        <v>0</v>
      </c>
      <c r="X46" s="172"/>
      <c r="Y46" s="172">
        <f>W23*Y$60*5</f>
        <v>0</v>
      </c>
      <c r="Z46" s="172">
        <f t="shared" ref="Z46:AA48" si="20">Y23*Z$60*5</f>
        <v>0</v>
      </c>
      <c r="AA46" s="172">
        <f t="shared" si="20"/>
        <v>0</v>
      </c>
      <c r="AB46" s="172"/>
      <c r="AC46" s="172">
        <f>AA23*AC$60*5</f>
        <v>0</v>
      </c>
      <c r="AD46" s="172">
        <f t="shared" ref="AD46:AE48" si="21">AC23*AD$60*5</f>
        <v>0</v>
      </c>
      <c r="AE46" s="172">
        <f t="shared" si="21"/>
        <v>0</v>
      </c>
      <c r="AF46" s="34"/>
      <c r="AG46" s="34"/>
      <c r="AH46" s="34"/>
      <c r="AI46" s="34"/>
      <c r="AJ46" s="34"/>
      <c r="AK46" s="34"/>
    </row>
    <row r="47" spans="1:37" ht="14.1" hidden="1" customHeight="1">
      <c r="A47" s="34"/>
      <c r="B47" s="171" t="s">
        <v>477</v>
      </c>
      <c r="C47" s="34"/>
      <c r="D47" s="34"/>
      <c r="E47" s="34"/>
      <c r="F47" s="172">
        <f>SUM(G47:AE47)</f>
        <v>680.12237802400023</v>
      </c>
      <c r="G47" s="172">
        <f t="shared" si="16"/>
        <v>0</v>
      </c>
      <c r="H47" s="172">
        <f t="shared" si="16"/>
        <v>0</v>
      </c>
      <c r="I47" s="172"/>
      <c r="J47" s="172">
        <f>H24*J$60*5</f>
        <v>0</v>
      </c>
      <c r="K47" s="172">
        <f t="shared" si="17"/>
        <v>0</v>
      </c>
      <c r="L47" s="172">
        <f t="shared" si="17"/>
        <v>85.23244600000001</v>
      </c>
      <c r="M47" s="172"/>
      <c r="N47" s="172">
        <f>L24*N$60*5</f>
        <v>102.76743245600002</v>
      </c>
      <c r="O47" s="172">
        <f t="shared" si="18"/>
        <v>150.47714616640005</v>
      </c>
      <c r="P47" s="172">
        <f t="shared" si="18"/>
        <v>72.422427420800005</v>
      </c>
      <c r="Q47" s="172">
        <f t="shared" si="18"/>
        <v>112.98276087040003</v>
      </c>
      <c r="R47" s="172">
        <f t="shared" si="18"/>
        <v>156.24016511040003</v>
      </c>
      <c r="S47" s="172"/>
      <c r="T47" s="172">
        <f>R24*T$60*5</f>
        <v>0</v>
      </c>
      <c r="U47" s="172">
        <f t="shared" si="19"/>
        <v>0</v>
      </c>
      <c r="V47" s="172">
        <f t="shared" si="19"/>
        <v>0</v>
      </c>
      <c r="W47" s="172">
        <f t="shared" si="19"/>
        <v>0</v>
      </c>
      <c r="X47" s="172"/>
      <c r="Y47" s="172">
        <f>W24*Y$60*5</f>
        <v>0</v>
      </c>
      <c r="Z47" s="172">
        <f t="shared" si="20"/>
        <v>0</v>
      </c>
      <c r="AA47" s="172">
        <f t="shared" si="20"/>
        <v>0</v>
      </c>
      <c r="AB47" s="172"/>
      <c r="AC47" s="172">
        <f>AA24*AC$60*5</f>
        <v>0</v>
      </c>
      <c r="AD47" s="172">
        <f t="shared" si="21"/>
        <v>0</v>
      </c>
      <c r="AE47" s="172">
        <f t="shared" si="21"/>
        <v>0</v>
      </c>
      <c r="AF47" s="34"/>
      <c r="AG47" s="34"/>
      <c r="AH47" s="34"/>
      <c r="AI47" s="34"/>
      <c r="AJ47" s="34"/>
      <c r="AK47" s="34"/>
    </row>
    <row r="48" spans="1:37" ht="14.1" hidden="1" customHeight="1">
      <c r="A48" s="34"/>
      <c r="B48" s="171" t="s">
        <v>478</v>
      </c>
      <c r="C48" s="34"/>
      <c r="D48" s="34"/>
      <c r="E48" s="34"/>
      <c r="F48" s="172">
        <f>SUM(G48:AE48)</f>
        <v>502.12746306400015</v>
      </c>
      <c r="G48" s="172">
        <f t="shared" si="16"/>
        <v>0</v>
      </c>
      <c r="H48" s="172">
        <f t="shared" si="16"/>
        <v>0</v>
      </c>
      <c r="I48" s="172"/>
      <c r="J48" s="172">
        <f>H25*J$60*5</f>
        <v>0</v>
      </c>
      <c r="K48" s="172">
        <f t="shared" si="17"/>
        <v>0</v>
      </c>
      <c r="L48" s="172">
        <f t="shared" si="17"/>
        <v>83.606762000000003</v>
      </c>
      <c r="M48" s="172"/>
      <c r="N48" s="172">
        <f>L25*N$60*5</f>
        <v>85.23244600000001</v>
      </c>
      <c r="O48" s="172">
        <f t="shared" si="18"/>
        <v>102.76743245600002</v>
      </c>
      <c r="P48" s="172">
        <f t="shared" si="18"/>
        <v>45.115634316800012</v>
      </c>
      <c r="Q48" s="172">
        <f t="shared" si="18"/>
        <v>72.422427420800005</v>
      </c>
      <c r="R48" s="172">
        <f t="shared" si="18"/>
        <v>112.98276087040003</v>
      </c>
      <c r="S48" s="172"/>
      <c r="T48" s="172">
        <f>R25*T$60*5</f>
        <v>0</v>
      </c>
      <c r="U48" s="172">
        <f t="shared" si="19"/>
        <v>0</v>
      </c>
      <c r="V48" s="172">
        <f t="shared" si="19"/>
        <v>0</v>
      </c>
      <c r="W48" s="172">
        <f t="shared" si="19"/>
        <v>0</v>
      </c>
      <c r="X48" s="172"/>
      <c r="Y48" s="172">
        <f>W25*Y$60*5</f>
        <v>0</v>
      </c>
      <c r="Z48" s="172">
        <f t="shared" si="20"/>
        <v>0</v>
      </c>
      <c r="AA48" s="172">
        <f t="shared" si="20"/>
        <v>0</v>
      </c>
      <c r="AB48" s="172"/>
      <c r="AC48" s="172">
        <f>AA25*AC$60*5</f>
        <v>0</v>
      </c>
      <c r="AD48" s="172">
        <f t="shared" si="21"/>
        <v>0</v>
      </c>
      <c r="AE48" s="172">
        <f t="shared" si="21"/>
        <v>0</v>
      </c>
      <c r="AF48" s="34"/>
      <c r="AG48" s="34"/>
      <c r="AH48" s="34"/>
      <c r="AI48" s="34"/>
      <c r="AJ48" s="34"/>
      <c r="AK48" s="34"/>
    </row>
    <row r="49" spans="1:37" ht="14.1" hidden="1" customHeight="1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</row>
    <row r="50" spans="1:37" hidden="1">
      <c r="A50" s="34"/>
      <c r="B50" s="156"/>
      <c r="C50" s="156"/>
      <c r="D50" s="156"/>
      <c r="E50" s="156"/>
      <c r="F50" s="156" t="s">
        <v>522</v>
      </c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156"/>
      <c r="Y50" s="156"/>
      <c r="Z50" s="156"/>
      <c r="AA50" s="156"/>
      <c r="AB50" s="156"/>
      <c r="AC50" s="156"/>
      <c r="AD50" s="156"/>
      <c r="AE50" s="156"/>
      <c r="AF50" s="34"/>
      <c r="AG50" s="34"/>
      <c r="AH50" s="34"/>
      <c r="AI50" s="34"/>
      <c r="AJ50" s="34"/>
      <c r="AK50" s="34"/>
    </row>
    <row r="51" spans="1:37" hidden="1">
      <c r="A51" s="34"/>
      <c r="B51" s="170" t="s">
        <v>520</v>
      </c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</row>
    <row r="52" spans="1:37" hidden="1">
      <c r="A52" s="34"/>
      <c r="B52" s="171" t="s">
        <v>476</v>
      </c>
      <c r="C52" s="34"/>
      <c r="D52" s="34"/>
      <c r="E52" s="34"/>
      <c r="F52" s="172">
        <f>SUM(G52:AE52)</f>
        <v>1056.4830102400001</v>
      </c>
      <c r="G52" s="172">
        <f t="shared" ref="G52:H54" si="22">F23*G$61*5</f>
        <v>0</v>
      </c>
      <c r="H52" s="172">
        <f t="shared" si="22"/>
        <v>0</v>
      </c>
      <c r="I52" s="172"/>
      <c r="J52" s="172">
        <f>H23*J$61*5</f>
        <v>0</v>
      </c>
      <c r="K52" s="172">
        <f t="shared" ref="K52:L54" si="23">J23*K$61*5</f>
        <v>0</v>
      </c>
      <c r="L52" s="172">
        <f t="shared" si="23"/>
        <v>0</v>
      </c>
      <c r="M52" s="172"/>
      <c r="N52" s="172">
        <f>L23*N$61*5</f>
        <v>0</v>
      </c>
      <c r="O52" s="172">
        <f t="shared" ref="O52:R54" si="24">N23*O$61*5</f>
        <v>0</v>
      </c>
      <c r="P52" s="172">
        <f t="shared" si="24"/>
        <v>120.56087288000001</v>
      </c>
      <c r="Q52" s="172">
        <f t="shared" si="24"/>
        <v>166.71968837999998</v>
      </c>
      <c r="R52" s="172">
        <f t="shared" si="24"/>
        <v>224.53804771999998</v>
      </c>
      <c r="S52" s="172"/>
      <c r="T52" s="172">
        <f>R23*T$61*5</f>
        <v>274.62236522000001</v>
      </c>
      <c r="U52" s="172">
        <f t="shared" ref="U52:W54" si="25">T23*U$61*5</f>
        <v>270.04203603999997</v>
      </c>
      <c r="V52" s="172">
        <f t="shared" si="25"/>
        <v>0</v>
      </c>
      <c r="W52" s="172">
        <f t="shared" si="25"/>
        <v>0</v>
      </c>
      <c r="X52" s="172"/>
      <c r="Y52" s="172">
        <f>W23*Y$61*5</f>
        <v>0</v>
      </c>
      <c r="Z52" s="172">
        <f t="shared" ref="Z52:AA54" si="26">Y23*Z$61*5</f>
        <v>0</v>
      </c>
      <c r="AA52" s="172">
        <f t="shared" si="26"/>
        <v>0</v>
      </c>
      <c r="AB52" s="172"/>
      <c r="AC52" s="172">
        <f>AA23*AC$61*5</f>
        <v>0</v>
      </c>
      <c r="AD52" s="172">
        <f t="shared" ref="AD52:AE54" si="27">AC23*AD$61*5</f>
        <v>0</v>
      </c>
      <c r="AE52" s="172">
        <f t="shared" si="27"/>
        <v>0</v>
      </c>
      <c r="AF52" s="34"/>
      <c r="AG52" s="34"/>
      <c r="AH52" s="34"/>
      <c r="AI52" s="34"/>
      <c r="AJ52" s="34"/>
      <c r="AK52" s="34"/>
    </row>
    <row r="53" spans="1:37" hidden="1">
      <c r="A53" s="34"/>
      <c r="B53" s="171" t="s">
        <v>477</v>
      </c>
      <c r="C53" s="34"/>
      <c r="D53" s="34"/>
      <c r="E53" s="34"/>
      <c r="F53" s="172">
        <f>SUM(G53:AE53)</f>
        <v>846.49996921357001</v>
      </c>
      <c r="G53" s="172">
        <f t="shared" si="22"/>
        <v>0</v>
      </c>
      <c r="H53" s="172">
        <f t="shared" si="22"/>
        <v>0</v>
      </c>
      <c r="I53" s="172"/>
      <c r="J53" s="172">
        <f>H24*J$61*5</f>
        <v>0</v>
      </c>
      <c r="K53" s="172">
        <f t="shared" si="23"/>
        <v>0</v>
      </c>
      <c r="L53" s="172">
        <f t="shared" si="23"/>
        <v>0</v>
      </c>
      <c r="M53" s="172"/>
      <c r="N53" s="172">
        <f>L24*N$61*5</f>
        <v>0</v>
      </c>
      <c r="O53" s="172">
        <f t="shared" si="24"/>
        <v>0</v>
      </c>
      <c r="P53" s="172">
        <f t="shared" si="24"/>
        <v>77.280029260000006</v>
      </c>
      <c r="Q53" s="172">
        <f t="shared" si="24"/>
        <v>120.56087288000001</v>
      </c>
      <c r="R53" s="172">
        <f t="shared" si="24"/>
        <v>166.71968837999998</v>
      </c>
      <c r="S53" s="172"/>
      <c r="T53" s="172">
        <f>R24*T$61*5</f>
        <v>216.79148507366</v>
      </c>
      <c r="U53" s="172">
        <f t="shared" si="25"/>
        <v>265.14789361991001</v>
      </c>
      <c r="V53" s="172">
        <f t="shared" si="25"/>
        <v>0</v>
      </c>
      <c r="W53" s="172">
        <f t="shared" si="25"/>
        <v>0</v>
      </c>
      <c r="X53" s="172"/>
      <c r="Y53" s="172">
        <f>W24*Y$61*5</f>
        <v>0</v>
      </c>
      <c r="Z53" s="172">
        <f t="shared" si="26"/>
        <v>0</v>
      </c>
      <c r="AA53" s="172">
        <f t="shared" si="26"/>
        <v>0</v>
      </c>
      <c r="AB53" s="172"/>
      <c r="AC53" s="172">
        <f>AA24*AC$61*5</f>
        <v>0</v>
      </c>
      <c r="AD53" s="172">
        <f t="shared" si="27"/>
        <v>0</v>
      </c>
      <c r="AE53" s="172">
        <f t="shared" si="27"/>
        <v>0</v>
      </c>
      <c r="AF53" s="34"/>
      <c r="AG53" s="34"/>
      <c r="AH53" s="34"/>
      <c r="AI53" s="34"/>
      <c r="AJ53" s="34"/>
      <c r="AK53" s="34"/>
    </row>
    <row r="54" spans="1:37" hidden="1">
      <c r="A54" s="34"/>
      <c r="B54" s="171" t="s">
        <v>478</v>
      </c>
      <c r="C54" s="34"/>
      <c r="D54" s="34"/>
      <c r="E54" s="34"/>
      <c r="F54" s="172">
        <f>SUM(G54:AE54)</f>
        <v>614.6327005823307</v>
      </c>
      <c r="G54" s="172">
        <f t="shared" si="22"/>
        <v>0</v>
      </c>
      <c r="H54" s="172">
        <f t="shared" si="22"/>
        <v>0</v>
      </c>
      <c r="I54" s="172"/>
      <c r="J54" s="172">
        <f>H25*J$61*5</f>
        <v>0</v>
      </c>
      <c r="K54" s="172">
        <f t="shared" si="23"/>
        <v>0</v>
      </c>
      <c r="L54" s="172">
        <f t="shared" si="23"/>
        <v>0</v>
      </c>
      <c r="M54" s="172"/>
      <c r="N54" s="172">
        <f>L25*N$61*5</f>
        <v>0</v>
      </c>
      <c r="O54" s="172">
        <f t="shared" si="24"/>
        <v>0</v>
      </c>
      <c r="P54" s="172">
        <f t="shared" si="24"/>
        <v>48.141682959999997</v>
      </c>
      <c r="Q54" s="172">
        <f t="shared" si="24"/>
        <v>77.280029260000006</v>
      </c>
      <c r="R54" s="172">
        <f t="shared" si="24"/>
        <v>120.56087288000001</v>
      </c>
      <c r="S54" s="172"/>
      <c r="T54" s="172">
        <f>R25*T$61*5</f>
        <v>160.259300455275</v>
      </c>
      <c r="U54" s="172">
        <f t="shared" si="25"/>
        <v>208.39081502705568</v>
      </c>
      <c r="V54" s="172">
        <f t="shared" si="25"/>
        <v>0</v>
      </c>
      <c r="W54" s="172">
        <f t="shared" si="25"/>
        <v>0</v>
      </c>
      <c r="X54" s="172"/>
      <c r="Y54" s="172">
        <f>W25*Y$61*5</f>
        <v>0</v>
      </c>
      <c r="Z54" s="172">
        <f t="shared" si="26"/>
        <v>0</v>
      </c>
      <c r="AA54" s="172">
        <f t="shared" si="26"/>
        <v>0</v>
      </c>
      <c r="AB54" s="172"/>
      <c r="AC54" s="172">
        <f>AA25*AC$61*5</f>
        <v>0</v>
      </c>
      <c r="AD54" s="172">
        <f t="shared" si="27"/>
        <v>0</v>
      </c>
      <c r="AE54" s="172">
        <f t="shared" si="27"/>
        <v>0</v>
      </c>
      <c r="AF54" s="34"/>
      <c r="AG54" s="34"/>
      <c r="AH54" s="34"/>
      <c r="AI54" s="34"/>
      <c r="AJ54" s="34"/>
      <c r="AK54" s="34"/>
    </row>
    <row r="55" spans="1:37" hidden="1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</row>
    <row r="56" spans="1:37" hidden="1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</row>
    <row r="57" spans="1:37" hidden="1">
      <c r="A57" s="34"/>
      <c r="B57" s="156" t="s">
        <v>523</v>
      </c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56"/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  <c r="AD57" s="156"/>
      <c r="AE57" s="156"/>
      <c r="AF57" s="34"/>
      <c r="AG57" s="34"/>
      <c r="AH57" s="34"/>
      <c r="AI57" s="34"/>
      <c r="AJ57" s="34"/>
      <c r="AK57" s="34"/>
    </row>
    <row r="58" spans="1:37" ht="14.1" hidden="1" customHeight="1">
      <c r="A58" s="34"/>
      <c r="B58" s="167" t="s">
        <v>508</v>
      </c>
      <c r="C58" s="168"/>
      <c r="D58" s="168"/>
      <c r="E58" s="156"/>
      <c r="F58" s="169" t="s">
        <v>372</v>
      </c>
      <c r="G58" s="169" t="s">
        <v>373</v>
      </c>
      <c r="H58" s="169">
        <v>2</v>
      </c>
      <c r="I58" s="169"/>
      <c r="J58" s="169">
        <v>3</v>
      </c>
      <c r="K58" s="169">
        <v>4</v>
      </c>
      <c r="L58" s="169">
        <v>5</v>
      </c>
      <c r="M58" s="169"/>
      <c r="N58" s="169">
        <v>6</v>
      </c>
      <c r="O58" s="169">
        <v>7</v>
      </c>
      <c r="P58" s="169">
        <v>8</v>
      </c>
      <c r="Q58" s="169">
        <v>9</v>
      </c>
      <c r="R58" s="169">
        <v>10</v>
      </c>
      <c r="S58" s="169"/>
      <c r="T58" s="169">
        <v>11</v>
      </c>
      <c r="U58" s="169">
        <v>12</v>
      </c>
      <c r="V58" s="169">
        <v>13</v>
      </c>
      <c r="W58" s="169">
        <v>14</v>
      </c>
      <c r="X58" s="169"/>
      <c r="Y58" s="169">
        <v>15</v>
      </c>
      <c r="Z58" s="169">
        <v>16</v>
      </c>
      <c r="AA58" s="169">
        <v>17</v>
      </c>
      <c r="AB58" s="169"/>
      <c r="AC58" s="169">
        <v>18</v>
      </c>
      <c r="AD58" s="169">
        <v>19</v>
      </c>
      <c r="AE58" s="169" t="s">
        <v>510</v>
      </c>
      <c r="AF58" s="34"/>
      <c r="AG58" s="34"/>
      <c r="AH58" s="34"/>
      <c r="AI58" s="34"/>
      <c r="AJ58" s="34"/>
      <c r="AK58" s="34"/>
    </row>
    <row r="59" spans="1:37" ht="15.95" hidden="1" customHeight="1">
      <c r="A59" s="34"/>
      <c r="B59" s="34" t="s">
        <v>380</v>
      </c>
      <c r="C59" s="34"/>
      <c r="D59" s="34"/>
      <c r="E59" s="34"/>
      <c r="F59" s="34"/>
      <c r="G59" s="173"/>
      <c r="H59" s="173"/>
      <c r="I59" s="173"/>
      <c r="J59" s="173"/>
      <c r="K59" s="173"/>
      <c r="L59" s="173"/>
      <c r="M59" s="173"/>
      <c r="N59" s="173"/>
      <c r="O59" s="173"/>
      <c r="P59" s="173"/>
      <c r="Q59" s="173"/>
      <c r="R59" s="174">
        <v>5.0000000000000001E-3</v>
      </c>
      <c r="S59" s="174"/>
      <c r="T59" s="174">
        <v>5.0000000000000001E-3</v>
      </c>
      <c r="U59" s="174">
        <v>6.6E-3</v>
      </c>
      <c r="V59" s="174">
        <v>8.2000000000000007E-3</v>
      </c>
      <c r="W59" s="174">
        <v>8.2000000000000007E-3</v>
      </c>
      <c r="X59" s="174"/>
      <c r="Y59" s="174">
        <v>8.2000000000000007E-3</v>
      </c>
      <c r="Z59" s="174">
        <v>8.2000000000000007E-3</v>
      </c>
      <c r="AA59" s="174">
        <v>8.2000000000000007E-3</v>
      </c>
      <c r="AB59" s="174"/>
      <c r="AC59" s="174">
        <v>8.2000000000000007E-3</v>
      </c>
      <c r="AD59" s="174">
        <v>8.2000000000000007E-3</v>
      </c>
      <c r="AE59" s="174">
        <v>8.2000000000000007E-3</v>
      </c>
      <c r="AF59" s="34"/>
      <c r="AG59" s="34"/>
      <c r="AH59" s="34"/>
      <c r="AI59" s="34"/>
      <c r="AJ59" s="34"/>
      <c r="AK59" s="34"/>
    </row>
    <row r="60" spans="1:37" ht="15.95" hidden="1" customHeight="1">
      <c r="A60" s="34"/>
      <c r="B60" s="34" t="s">
        <v>524</v>
      </c>
      <c r="C60" s="34"/>
      <c r="D60" s="34"/>
      <c r="E60" s="34"/>
      <c r="F60" s="34"/>
      <c r="G60" s="173"/>
      <c r="H60" s="173"/>
      <c r="I60" s="173"/>
      <c r="J60" s="173"/>
      <c r="K60" s="173"/>
      <c r="L60" s="174">
        <v>0.10940000000000001</v>
      </c>
      <c r="M60" s="174"/>
      <c r="N60" s="174">
        <v>0.10940000000000001</v>
      </c>
      <c r="O60" s="174">
        <v>0.10940000000000001</v>
      </c>
      <c r="P60" s="174">
        <v>3.2800000000000003E-2</v>
      </c>
      <c r="Q60" s="174">
        <v>3.2800000000000003E-2</v>
      </c>
      <c r="R60" s="174">
        <v>3.2800000000000003E-2</v>
      </c>
      <c r="S60" s="174"/>
      <c r="T60" s="174"/>
      <c r="U60" s="174"/>
      <c r="V60" s="173"/>
      <c r="W60" s="173"/>
      <c r="X60" s="173"/>
      <c r="Y60" s="173"/>
      <c r="Z60" s="173"/>
      <c r="AA60" s="173"/>
      <c r="AB60" s="173"/>
      <c r="AC60" s="173"/>
      <c r="AD60" s="173"/>
      <c r="AE60" s="173"/>
      <c r="AF60" s="34"/>
      <c r="AG60" s="34"/>
      <c r="AH60" s="34"/>
      <c r="AI60" s="34"/>
      <c r="AJ60" s="34"/>
      <c r="AK60" s="34"/>
    </row>
    <row r="61" spans="1:37" ht="15.95" hidden="1" customHeight="1">
      <c r="A61" s="34"/>
      <c r="B61" s="156" t="s">
        <v>384</v>
      </c>
      <c r="C61" s="156"/>
      <c r="D61" s="156"/>
      <c r="E61" s="156"/>
      <c r="F61" s="156"/>
      <c r="G61" s="175"/>
      <c r="H61" s="175"/>
      <c r="I61" s="175"/>
      <c r="J61" s="175"/>
      <c r="K61" s="175"/>
      <c r="L61" s="176"/>
      <c r="M61" s="176"/>
      <c r="N61" s="176"/>
      <c r="O61" s="176"/>
      <c r="P61" s="176">
        <v>3.4999999999999996E-2</v>
      </c>
      <c r="Q61" s="176">
        <v>3.4999999999999996E-2</v>
      </c>
      <c r="R61" s="176">
        <v>3.4999999999999996E-2</v>
      </c>
      <c r="S61" s="176"/>
      <c r="T61" s="176">
        <v>3.4999999999999996E-2</v>
      </c>
      <c r="U61" s="176">
        <v>3.4999999999999996E-2</v>
      </c>
      <c r="V61" s="175"/>
      <c r="W61" s="175"/>
      <c r="X61" s="175"/>
      <c r="Y61" s="175"/>
      <c r="Z61" s="175"/>
      <c r="AA61" s="175"/>
      <c r="AB61" s="175"/>
      <c r="AC61" s="175"/>
      <c r="AD61" s="175"/>
      <c r="AE61" s="175"/>
      <c r="AF61" s="34"/>
      <c r="AG61" s="34"/>
      <c r="AH61" s="34"/>
      <c r="AI61" s="34"/>
      <c r="AJ61" s="34"/>
      <c r="AK61" s="34"/>
    </row>
    <row r="62" spans="1:37" ht="15.95" hidden="1" customHeight="1">
      <c r="A62" s="34"/>
      <c r="B62" s="177" t="s">
        <v>525</v>
      </c>
      <c r="C62" s="177"/>
      <c r="D62" s="177"/>
      <c r="E62" s="177"/>
      <c r="F62" s="177"/>
      <c r="G62" s="178">
        <v>67</v>
      </c>
      <c r="H62" s="179">
        <v>7</v>
      </c>
      <c r="I62" s="179"/>
      <c r="J62" s="179"/>
      <c r="K62" s="179"/>
      <c r="L62" s="179">
        <v>6</v>
      </c>
      <c r="M62" s="179"/>
      <c r="N62" s="179">
        <v>6</v>
      </c>
      <c r="O62" s="179">
        <v>6</v>
      </c>
      <c r="P62" s="178">
        <v>6</v>
      </c>
      <c r="Q62" s="178">
        <v>6</v>
      </c>
      <c r="R62" s="178">
        <v>6</v>
      </c>
      <c r="S62" s="178"/>
      <c r="T62" s="178">
        <v>6</v>
      </c>
      <c r="U62" s="178">
        <v>6</v>
      </c>
      <c r="V62" s="180"/>
      <c r="W62" s="180"/>
      <c r="X62" s="180"/>
      <c r="Y62" s="180"/>
      <c r="Z62" s="180"/>
      <c r="AA62" s="180"/>
      <c r="AB62" s="180"/>
      <c r="AC62" s="180"/>
      <c r="AD62" s="180"/>
      <c r="AE62" s="180"/>
      <c r="AF62" s="34"/>
      <c r="AG62" s="34"/>
      <c r="AH62" s="34"/>
      <c r="AI62" s="34"/>
      <c r="AJ62" s="34"/>
      <c r="AK62" s="34"/>
    </row>
    <row r="63" spans="1:37" ht="15.95" hidden="1" customHeight="1">
      <c r="A63" s="34"/>
      <c r="B63" s="156" t="s">
        <v>526</v>
      </c>
      <c r="C63" s="156"/>
      <c r="D63" s="156"/>
      <c r="E63" s="156"/>
      <c r="F63" s="156"/>
      <c r="G63" s="181">
        <v>35</v>
      </c>
      <c r="H63" s="181">
        <v>7</v>
      </c>
      <c r="I63" s="181"/>
      <c r="J63" s="181"/>
      <c r="K63" s="181"/>
      <c r="L63" s="181">
        <v>6</v>
      </c>
      <c r="M63" s="181"/>
      <c r="N63" s="181">
        <v>6</v>
      </c>
      <c r="O63" s="181">
        <v>6</v>
      </c>
      <c r="P63" s="181">
        <v>6</v>
      </c>
      <c r="Q63" s="181">
        <v>6</v>
      </c>
      <c r="R63" s="181">
        <v>6</v>
      </c>
      <c r="S63" s="181"/>
      <c r="T63" s="181">
        <v>6</v>
      </c>
      <c r="U63" s="181">
        <v>6</v>
      </c>
      <c r="V63" s="180"/>
      <c r="W63" s="180"/>
      <c r="X63" s="180"/>
      <c r="Y63" s="180"/>
      <c r="Z63" s="180"/>
      <c r="AA63" s="180"/>
      <c r="AB63" s="180"/>
      <c r="AC63" s="180"/>
      <c r="AD63" s="180"/>
      <c r="AE63" s="180"/>
      <c r="AF63" s="34"/>
      <c r="AG63" s="34"/>
      <c r="AH63" s="34"/>
      <c r="AI63" s="34"/>
      <c r="AJ63" s="34"/>
      <c r="AK63" s="34"/>
    </row>
    <row r="64" spans="1:37" ht="15.95" hidden="1" customHeight="1">
      <c r="A64" s="34"/>
      <c r="B64" s="34" t="s">
        <v>527</v>
      </c>
      <c r="C64" s="34"/>
      <c r="D64" s="34"/>
      <c r="E64" s="34"/>
      <c r="F64" s="173">
        <v>0.18099999999999999</v>
      </c>
      <c r="G64" s="34"/>
      <c r="H64" s="293" t="s">
        <v>348</v>
      </c>
      <c r="I64" s="293"/>
      <c r="J64" s="293"/>
      <c r="K64" s="34"/>
      <c r="L64" s="293" t="s">
        <v>315</v>
      </c>
      <c r="M64" s="293"/>
      <c r="N64" s="293"/>
      <c r="O64" s="293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</row>
    <row r="65" spans="1:37" ht="15.95" hidden="1" customHeight="1">
      <c r="A65" s="34"/>
      <c r="B65" s="156" t="s">
        <v>528</v>
      </c>
      <c r="C65" s="156"/>
      <c r="D65" s="156"/>
      <c r="E65" s="156"/>
      <c r="F65" s="175">
        <v>0.18099999999999999</v>
      </c>
      <c r="G65" s="177"/>
      <c r="H65" s="182" t="s">
        <v>413</v>
      </c>
      <c r="I65" s="182"/>
      <c r="J65" s="182" t="s">
        <v>352</v>
      </c>
      <c r="K65" s="171"/>
      <c r="L65" s="171" t="s">
        <v>316</v>
      </c>
      <c r="M65" s="171"/>
      <c r="N65" s="171" t="s">
        <v>319</v>
      </c>
      <c r="O65" s="171" t="s">
        <v>317</v>
      </c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</row>
    <row r="66" spans="1:37" ht="15.95" hidden="1" customHeight="1">
      <c r="A66" s="34"/>
      <c r="B66" s="177" t="s">
        <v>396</v>
      </c>
      <c r="C66" s="177"/>
      <c r="D66" s="177"/>
      <c r="E66" s="177"/>
      <c r="F66" s="183">
        <v>2.380019118738079E-3</v>
      </c>
      <c r="G66" s="34"/>
      <c r="H66" s="184"/>
      <c r="I66" s="184"/>
      <c r="J66" s="184"/>
      <c r="K66" s="171"/>
      <c r="L66" s="169" t="s">
        <v>549</v>
      </c>
      <c r="M66" s="169"/>
      <c r="N66" s="169" t="s">
        <v>550</v>
      </c>
      <c r="O66" s="169" t="s">
        <v>549</v>
      </c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</row>
    <row r="67" spans="1:37" ht="15.95" hidden="1" customHeight="1">
      <c r="A67" s="34"/>
      <c r="B67" s="156" t="s">
        <v>530</v>
      </c>
      <c r="C67" s="156"/>
      <c r="D67" s="156"/>
      <c r="E67" s="156"/>
      <c r="F67" s="181">
        <v>132</v>
      </c>
      <c r="G67" s="156"/>
      <c r="H67" s="189">
        <v>0.39</v>
      </c>
      <c r="I67" s="185"/>
      <c r="J67" s="185">
        <v>0.19157384736886188</v>
      </c>
      <c r="K67" s="156"/>
      <c r="L67" s="185">
        <v>0.74346590950120928</v>
      </c>
      <c r="M67" s="185"/>
      <c r="N67" s="185">
        <v>0.56999999999999995</v>
      </c>
      <c r="O67" s="185">
        <v>0.74346590950120928</v>
      </c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</row>
    <row r="68" spans="1:37" ht="15.95" hidden="1" customHeight="1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</row>
    <row r="69" spans="1:37" ht="15.95" customHeight="1"/>
    <row r="70" spans="1:37" ht="15.95" customHeight="1"/>
    <row r="71" spans="1:37" ht="15.95" customHeight="1"/>
    <row r="72" spans="1:37" ht="15.95" customHeight="1"/>
    <row r="73" spans="1:37" ht="15.95" customHeight="1"/>
    <row r="74" spans="1:37" ht="15.95" customHeight="1"/>
  </sheetData>
  <mergeCells count="34">
    <mergeCell ref="AC7:AC8"/>
    <mergeCell ref="AD7:AD8"/>
    <mergeCell ref="AE7:AG7"/>
    <mergeCell ref="Y7:Y8"/>
    <mergeCell ref="Z7:Z8"/>
    <mergeCell ref="AA7:AA8"/>
    <mergeCell ref="H64:J64"/>
    <mergeCell ref="L64:O64"/>
    <mergeCell ref="AC6:AH6"/>
    <mergeCell ref="AJ6:AK6"/>
    <mergeCell ref="F7:F8"/>
    <mergeCell ref="G7:G8"/>
    <mergeCell ref="H7:H8"/>
    <mergeCell ref="J7:J8"/>
    <mergeCell ref="K7:K8"/>
    <mergeCell ref="L7:L8"/>
    <mergeCell ref="N7:N8"/>
    <mergeCell ref="O7:O8"/>
    <mergeCell ref="Y6:AA6"/>
    <mergeCell ref="AH7:AH8"/>
    <mergeCell ref="AJ7:AJ8"/>
    <mergeCell ref="AK7:AK8"/>
    <mergeCell ref="U7:U8"/>
    <mergeCell ref="V7:V8"/>
    <mergeCell ref="D6:D8"/>
    <mergeCell ref="F6:H6"/>
    <mergeCell ref="J6:L6"/>
    <mergeCell ref="N6:R6"/>
    <mergeCell ref="T6:W6"/>
    <mergeCell ref="P7:P8"/>
    <mergeCell ref="Q7:Q8"/>
    <mergeCell ref="R7:R8"/>
    <mergeCell ref="T7:T8"/>
    <mergeCell ref="W7:W8"/>
  </mergeCells>
  <phoneticPr fontId="4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A1:AK74"/>
  <sheetViews>
    <sheetView showGridLines="0" workbookViewId="0">
      <selection activeCell="O72" sqref="O72"/>
    </sheetView>
  </sheetViews>
  <sheetFormatPr defaultRowHeight="13.5"/>
  <cols>
    <col min="1" max="1" width="2.625" customWidth="1"/>
    <col min="2" max="2" width="9.625" customWidth="1"/>
    <col min="3" max="3" width="1.625" customWidth="1"/>
    <col min="4" max="4" width="9.125" customWidth="1"/>
    <col min="5" max="5" width="1.625" customWidth="1"/>
    <col min="6" max="6" width="8.625" customWidth="1"/>
    <col min="7" max="8" width="7.625" customWidth="1"/>
    <col min="9" max="9" width="1.625" customWidth="1"/>
    <col min="10" max="10" width="6.625" customWidth="1"/>
    <col min="11" max="11" width="7.625" customWidth="1"/>
    <col min="12" max="12" width="8.125" customWidth="1"/>
    <col min="13" max="13" width="1.625" customWidth="1"/>
    <col min="14" max="14" width="6.625" customWidth="1"/>
    <col min="15" max="18" width="7.625" customWidth="1"/>
    <col min="19" max="19" width="1.625" customWidth="1"/>
    <col min="20" max="20" width="7.125" customWidth="1"/>
    <col min="21" max="23" width="7.625" customWidth="1"/>
    <col min="24" max="24" width="1.625" customWidth="1"/>
    <col min="25" max="25" width="7.125" customWidth="1"/>
    <col min="26" max="27" width="7.625" customWidth="1"/>
    <col min="28" max="28" width="1.625" customWidth="1"/>
    <col min="29" max="29" width="6.625" customWidth="1"/>
    <col min="30" max="30" width="8.125" customWidth="1"/>
    <col min="31" max="32" width="7.625" customWidth="1"/>
    <col min="33" max="33" width="8.625" customWidth="1"/>
    <col min="34" max="34" width="8.125" customWidth="1"/>
    <col min="36" max="37" width="9" style="137" hidden="1" customWidth="1"/>
    <col min="38" max="16384" width="9" style="137"/>
  </cols>
  <sheetData>
    <row r="1" spans="1:37">
      <c r="A1" s="1" t="s">
        <v>674</v>
      </c>
      <c r="B1" s="1"/>
      <c r="C1" s="1"/>
      <c r="D1" s="1"/>
      <c r="E1" s="1"/>
      <c r="K1" s="152"/>
      <c r="AJ1" s="153" t="s">
        <v>487</v>
      </c>
      <c r="AK1" s="34"/>
    </row>
    <row r="2" spans="1:37">
      <c r="B2" s="39" t="s">
        <v>664</v>
      </c>
      <c r="C2" s="11"/>
      <c r="D2" s="11"/>
      <c r="E2" s="11"/>
      <c r="K2" s="154"/>
      <c r="AJ2" s="34"/>
      <c r="AK2" s="34"/>
    </row>
    <row r="3" spans="1:37">
      <c r="K3" s="155"/>
      <c r="P3" s="155"/>
      <c r="AJ3" s="34"/>
      <c r="AK3" s="34"/>
    </row>
    <row r="4" spans="1:37">
      <c r="C4" s="32" t="s">
        <v>543</v>
      </c>
      <c r="D4" t="s">
        <v>432</v>
      </c>
      <c r="F4" t="s">
        <v>654</v>
      </c>
      <c r="K4" t="str">
        <f>"再造林率：現状 ("&amp;TEXT(H67,"00%")&amp;")"</f>
        <v>再造林率：現状 (49%)</v>
      </c>
      <c r="O4" t="str">
        <f>"利用率（人工林・天然林皆伐）：アップ ("&amp;TEXT(L67,"00%")&amp;")"</f>
        <v>利用率（人工林・天然林皆伐）：アップ (85%)</v>
      </c>
      <c r="AJ4" s="34"/>
      <c r="AK4" s="34"/>
    </row>
    <row r="5" spans="1:37" ht="15.95" customHeight="1">
      <c r="B5" s="2"/>
      <c r="C5" s="2"/>
      <c r="D5" s="2"/>
      <c r="E5" s="2"/>
      <c r="F5" s="3"/>
      <c r="G5" s="44"/>
      <c r="H5" s="2"/>
      <c r="I5" s="16"/>
      <c r="L5" s="2"/>
      <c r="M5" s="2"/>
      <c r="N5" s="2"/>
      <c r="O5" s="2"/>
      <c r="P5" s="2"/>
      <c r="Q5" s="3"/>
      <c r="R5" s="109"/>
      <c r="S5" s="109"/>
      <c r="T5" s="2"/>
      <c r="U5" s="3"/>
      <c r="V5" s="109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J5" s="156"/>
      <c r="AK5" s="156"/>
    </row>
    <row r="6" spans="1:37" ht="15.95" customHeight="1">
      <c r="B6" s="131"/>
      <c r="C6" s="131"/>
      <c r="D6" s="289" t="s">
        <v>490</v>
      </c>
      <c r="E6" s="255"/>
      <c r="F6" s="265" t="s">
        <v>399</v>
      </c>
      <c r="G6" s="265"/>
      <c r="H6" s="265"/>
      <c r="I6" s="255"/>
      <c r="J6" s="265" t="s">
        <v>400</v>
      </c>
      <c r="K6" s="265"/>
      <c r="L6" s="265"/>
      <c r="M6" s="255"/>
      <c r="N6" s="265" t="s">
        <v>689</v>
      </c>
      <c r="O6" s="265"/>
      <c r="P6" s="265"/>
      <c r="Q6" s="265"/>
      <c r="R6" s="265"/>
      <c r="S6" s="255"/>
      <c r="T6" s="265" t="s">
        <v>687</v>
      </c>
      <c r="U6" s="265"/>
      <c r="V6" s="265"/>
      <c r="W6" s="265"/>
      <c r="X6" s="255"/>
      <c r="Y6" s="265" t="s">
        <v>347</v>
      </c>
      <c r="Z6" s="265"/>
      <c r="AA6" s="265"/>
      <c r="AB6" s="255"/>
      <c r="AC6" s="265" t="s">
        <v>491</v>
      </c>
      <c r="AD6" s="265"/>
      <c r="AE6" s="265"/>
      <c r="AF6" s="265"/>
      <c r="AG6" s="265"/>
      <c r="AH6" s="265"/>
      <c r="AJ6" s="293" t="s">
        <v>492</v>
      </c>
      <c r="AK6" s="293"/>
    </row>
    <row r="7" spans="1:37" ht="15.95" customHeight="1">
      <c r="B7" s="251" t="s">
        <v>493</v>
      </c>
      <c r="C7" s="16"/>
      <c r="D7" s="276"/>
      <c r="E7" s="253"/>
      <c r="F7" s="289" t="s">
        <v>1</v>
      </c>
      <c r="G7" s="289" t="s">
        <v>316</v>
      </c>
      <c r="H7" s="289" t="s">
        <v>317</v>
      </c>
      <c r="I7" s="253"/>
      <c r="J7" s="289" t="s">
        <v>1</v>
      </c>
      <c r="K7" s="289" t="s">
        <v>401</v>
      </c>
      <c r="L7" s="289" t="s">
        <v>319</v>
      </c>
      <c r="M7" s="253"/>
      <c r="N7" s="289" t="s">
        <v>1</v>
      </c>
      <c r="O7" s="289" t="s">
        <v>494</v>
      </c>
      <c r="P7" s="289" t="s">
        <v>403</v>
      </c>
      <c r="Q7" s="289" t="s">
        <v>495</v>
      </c>
      <c r="R7" s="289" t="s">
        <v>496</v>
      </c>
      <c r="S7" s="253"/>
      <c r="T7" s="289" t="s">
        <v>1</v>
      </c>
      <c r="U7" s="289" t="s">
        <v>494</v>
      </c>
      <c r="V7" s="289" t="s">
        <v>495</v>
      </c>
      <c r="W7" s="289" t="s">
        <v>496</v>
      </c>
      <c r="X7" s="253"/>
      <c r="Y7" s="289" t="s">
        <v>1</v>
      </c>
      <c r="Z7" s="289" t="s">
        <v>413</v>
      </c>
      <c r="AA7" s="289" t="s">
        <v>352</v>
      </c>
      <c r="AB7" s="253"/>
      <c r="AC7" s="289" t="s">
        <v>1</v>
      </c>
      <c r="AD7" s="289" t="s">
        <v>497</v>
      </c>
      <c r="AE7" s="286" t="s">
        <v>498</v>
      </c>
      <c r="AF7" s="286"/>
      <c r="AG7" s="286"/>
      <c r="AH7" s="289" t="s">
        <v>499</v>
      </c>
      <c r="AJ7" s="294" t="s">
        <v>500</v>
      </c>
      <c r="AK7" s="294" t="s">
        <v>501</v>
      </c>
    </row>
    <row r="8" spans="1:37" ht="15.95" customHeight="1">
      <c r="B8" s="252"/>
      <c r="D8" s="278"/>
      <c r="E8" s="253"/>
      <c r="F8" s="278"/>
      <c r="G8" s="278"/>
      <c r="H8" s="278"/>
      <c r="I8" s="253"/>
      <c r="J8" s="278"/>
      <c r="K8" s="278"/>
      <c r="L8" s="278"/>
      <c r="M8" s="253"/>
      <c r="N8" s="278"/>
      <c r="O8" s="278"/>
      <c r="P8" s="278"/>
      <c r="Q8" s="278"/>
      <c r="R8" s="278"/>
      <c r="S8" s="253"/>
      <c r="T8" s="278"/>
      <c r="U8" s="278"/>
      <c r="V8" s="278"/>
      <c r="W8" s="278"/>
      <c r="X8" s="253"/>
      <c r="Y8" s="278"/>
      <c r="Z8" s="278"/>
      <c r="AA8" s="278"/>
      <c r="AB8" s="253"/>
      <c r="AC8" s="278"/>
      <c r="AD8" s="278"/>
      <c r="AE8" s="254" t="s">
        <v>1</v>
      </c>
      <c r="AF8" s="254" t="s">
        <v>401</v>
      </c>
      <c r="AG8" s="254" t="s">
        <v>319</v>
      </c>
      <c r="AH8" s="278"/>
      <c r="AJ8" s="295"/>
      <c r="AK8" s="295"/>
    </row>
    <row r="9" spans="1:37" ht="14.1" customHeight="1">
      <c r="E9" s="16"/>
      <c r="F9" s="16" t="s">
        <v>474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71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J9" s="34"/>
      <c r="AK9" s="34"/>
    </row>
    <row r="10" spans="1:37" ht="14.1" customHeight="1">
      <c r="B10" s="106" t="s">
        <v>655</v>
      </c>
      <c r="D10" s="49"/>
      <c r="E10" s="110"/>
      <c r="F10" s="157">
        <f>SUM(G10:H10)</f>
        <v>70.447052880172407</v>
      </c>
      <c r="G10" s="157">
        <v>38.885333558651013</v>
      </c>
      <c r="H10" s="157">
        <v>31.561719321521402</v>
      </c>
      <c r="I10" s="157"/>
      <c r="J10" s="158">
        <f>SUM(K10:L10)</f>
        <v>516.63924816976009</v>
      </c>
      <c r="K10" s="158">
        <v>282.07085384376006</v>
      </c>
      <c r="L10" s="158">
        <v>234.568394326</v>
      </c>
      <c r="M10" s="157"/>
      <c r="N10" s="157">
        <f>SUM(O10:R10)</f>
        <v>42.331700162355752</v>
      </c>
      <c r="O10" s="110">
        <v>14.006981502836402</v>
      </c>
      <c r="P10" s="110">
        <v>11.131364598429178</v>
      </c>
      <c r="Q10" s="110">
        <v>13.027207110649348</v>
      </c>
      <c r="R10" s="110">
        <v>4.1661469504408251</v>
      </c>
      <c r="S10" s="110"/>
      <c r="T10" s="110">
        <f>SUM(U10:W10)</f>
        <v>20.936609527068185</v>
      </c>
      <c r="U10" s="110">
        <v>10.41371324237288</v>
      </c>
      <c r="V10" s="110">
        <v>7.4255080530701276</v>
      </c>
      <c r="W10" s="110">
        <v>3.0973882316251773</v>
      </c>
      <c r="X10" s="110"/>
      <c r="Y10" s="110">
        <f>SUM(Z10:AA10)</f>
        <v>25.055111618445864</v>
      </c>
      <c r="Z10" s="110">
        <v>19.008711618445862</v>
      </c>
      <c r="AA10" s="110">
        <v>6.0464000000000002</v>
      </c>
      <c r="AB10" s="110"/>
      <c r="AC10" s="110">
        <f>SUM(AD10:AE10,AH10)</f>
        <v>7.936848516848956</v>
      </c>
      <c r="AD10" s="110">
        <v>1.8926768784358732</v>
      </c>
      <c r="AE10" s="110">
        <f>SUM(AF10:AG10)</f>
        <v>3.6271588523669189</v>
      </c>
      <c r="AF10" s="110">
        <v>1.6924251230625604</v>
      </c>
      <c r="AG10" s="110">
        <f>V10/AK10</f>
        <v>1.9347337293043583</v>
      </c>
      <c r="AH10" s="110">
        <f>(U10+W10)/AJ10</f>
        <v>2.4170127860461639</v>
      </c>
      <c r="AJ10" s="159">
        <v>5.59</v>
      </c>
      <c r="AK10" s="159">
        <v>3.8380000000000001</v>
      </c>
    </row>
    <row r="11" spans="1:37" ht="14.1" customHeight="1">
      <c r="B11" s="106" t="s">
        <v>656</v>
      </c>
      <c r="D11" s="160">
        <v>1.17</v>
      </c>
      <c r="E11" s="161"/>
      <c r="F11" s="157">
        <f>SUM(G11:H11)</f>
        <v>88.911779918685113</v>
      </c>
      <c r="G11" s="157">
        <f>F40/5</f>
        <v>57.066859208174399</v>
      </c>
      <c r="H11" s="157">
        <f>AG23*F$66</f>
        <v>31.844920710510717</v>
      </c>
      <c r="I11" s="162"/>
      <c r="J11" s="158">
        <f>SUM(K11:L11)</f>
        <v>406.18600677584004</v>
      </c>
      <c r="K11" s="158">
        <f>F46/5</f>
        <v>194.88940472784006</v>
      </c>
      <c r="L11" s="158">
        <f>F52/5</f>
        <v>211.29660204800001</v>
      </c>
      <c r="M11" s="162"/>
      <c r="N11" s="157">
        <f>SUM(O11:R11)</f>
        <v>46.216048832120542</v>
      </c>
      <c r="O11" s="110">
        <f>SUM($H40*($G$29+$H$29),$J40*($H$29+$J$29),$K40*($J$29+$K$29),$L40*($K$29+$L$29),$N40*($L$29+$N$29),$O40*($N$29+$O$29),$P40*($O$29+$P$29),$Q40*($P$29+$Q$29),$R40*($Q$29+$R$29),$T40*($R$29+$T$29),$U40*($T$29+$U$29),$V40*($U$29+$V$29),$W40*($V$29+$W$29),$Y40*($W$29+$Y$29),$Z40*($Y$29+$Z$29),$AA40*($Z$29+$AA$29),$AC40*($AA$29+$AC$29),$AD40*($AC$29+$AD$29),$AE40*($AD$29+$AE$29))/2/5/1000</f>
        <v>21.595969456181646</v>
      </c>
      <c r="P11" s="110">
        <f>SUM($H46*($G$29+$H$29),$J46*($H$29+$J$29),$K46*($J$29+$K$29),$L46*($K$29+$L$29),$N46*($L$29+$N$29),$O46*($N$29+$O$29),$P46*($O$29+$P$29),$Q46*($P$29+$Q$29),$R46*($Q$29+$R$29),$T46*($R$29+$T$29),$U46*($T$29+$U$29),$V46*($U$29+$V$29),$W46*($V$29+$W$29),$Y46*($W$29+$Y$29),$Z46*($Y$29+$Z$29),$AA46*($Z$29+$AA$29),$AC46*($AA$29+$AC$29),$AD46*($AC$29+$AD$29),$AE46*($AD$29+$AE$29))*$F$64/2/5/1000</f>
        <v>8.1339971268373787</v>
      </c>
      <c r="Q11" s="110">
        <f>SUM($H52*($G$29+$H$29),$J52*($H$29+$J$29),$K52*($J$29+$K$29),$L52*($K$29+$L$29),$N52*($L$29+$N$29),$O52*($N$29+$O$29),$P52*($O$29+$P$29),$Q52*($P$29+$Q$29),$R52*($Q$29+$R$29),$T52*($R$29+$T$29),$U52*($T$29+$U$29),$V52*($U$29+$V$29),$W52*($V$29+$W$29),$Y52*($W$29+$Y$29),$Z52*($Y$29+$Z$29),$AA52*($Z$29+$AA$29),$AC52*($AA$29+$AC$29),$AD52*($AC$29+$AD$29),$AE52*($AD$29+$AE$29))*$F$65/2/5/1000</f>
        <v>12.282552715314102</v>
      </c>
      <c r="R11" s="110">
        <f>H11*F$67/1000</f>
        <v>4.2035295337874148</v>
      </c>
      <c r="S11" s="161"/>
      <c r="T11" s="110">
        <f>SUM(U11:W11)</f>
        <v>28.938392688673744</v>
      </c>
      <c r="U11" s="110">
        <f>O11*L$67</f>
        <v>18.363072625091856</v>
      </c>
      <c r="V11" s="110">
        <f t="shared" ref="V11:W13" si="0">Q11*N$67</f>
        <v>7.0010550477290376</v>
      </c>
      <c r="W11" s="110">
        <f t="shared" si="0"/>
        <v>3.5742650158528524</v>
      </c>
      <c r="X11" s="161"/>
      <c r="Y11" s="110">
        <f>SUM(Z11:AA11)</f>
        <v>34.063414991674343</v>
      </c>
      <c r="Z11" s="110">
        <f>G11*H$67</f>
        <v>27.962761012005455</v>
      </c>
      <c r="AA11" s="110">
        <f>H11*J$67</f>
        <v>6.1006539796688886</v>
      </c>
      <c r="AB11" s="161"/>
      <c r="AC11" s="110">
        <f>SUM(AD11:AE11,AH11)</f>
        <v>7.0483070712108047</v>
      </c>
      <c r="AD11" s="110">
        <f>SUMPRODUCT(G24:H24,IF($D$4="従来",G$62:H$62,IF($D$4="省力",G$63:H$63)))/5/1000</f>
        <v>1.367387524708602</v>
      </c>
      <c r="AE11" s="110">
        <f>SUM(AF11:AG11)</f>
        <v>2.7558953116431457</v>
      </c>
      <c r="AF11" s="110">
        <f>SUMPRODUCT(L46:R46,IF($D$4="従来",L$62:R$62,IF($D$4="省力",L$63:R$63)))/5/1000</f>
        <v>1.1693364283670402</v>
      </c>
      <c r="AG11" s="110">
        <f>V11/AK11</f>
        <v>1.5865588832761055</v>
      </c>
      <c r="AH11" s="110">
        <f>(U11+W11)/AJ11</f>
        <v>2.9250242348590572</v>
      </c>
      <c r="AJ11" s="159">
        <v>7.4998823529411762</v>
      </c>
      <c r="AK11" s="159">
        <v>4.4127294117647056</v>
      </c>
    </row>
    <row r="12" spans="1:37" ht="14.1" customHeight="1">
      <c r="B12" s="106" t="s">
        <v>477</v>
      </c>
      <c r="D12" s="160">
        <v>1.32</v>
      </c>
      <c r="E12" s="161"/>
      <c r="F12" s="157">
        <f>SUM(G12:H12)</f>
        <v>106.18349201884378</v>
      </c>
      <c r="G12" s="157">
        <f>F41/5</f>
        <v>74.41116967387515</v>
      </c>
      <c r="H12" s="157">
        <f>AG24*F$66</f>
        <v>31.772322344968629</v>
      </c>
      <c r="I12" s="162"/>
      <c r="J12" s="158">
        <f>SUM(K12:L12)</f>
        <v>305.84858788110108</v>
      </c>
      <c r="K12" s="158">
        <f>F47/5</f>
        <v>136.02447560480005</v>
      </c>
      <c r="L12" s="158">
        <f>F53/5</f>
        <v>169.82411227630104</v>
      </c>
      <c r="M12" s="162"/>
      <c r="N12" s="157">
        <f>SUM(O12:R12)</f>
        <v>48.888828478632711</v>
      </c>
      <c r="O12" s="110">
        <f>SUM($H41*($G$29+$H$29),$J41*($H$29+$J$29),$K41*($J$29+$K$29),$L41*($K$29+$L$29),$N41*($L$29+$N$29),$O41*($N$29+$O$29),$P41*($O$29+$P$29),$Q41*($P$29+$Q$29),$R41*($Q$29+$R$29),$T41*($R$29+$T$29),$U41*($T$29+$U$29),$V41*($U$29+$V$29),$W41*($V$29+$W$29),$Y41*($W$29+$Y$29),$Z41*($Y$29+$Z$29),$AA41*($Z$29+$AA$29),$AC41*($AA$29+$AC$29),$AD41*($AC$29+$AD$29),$AE41*($AD$29+$AE$29))/2/5/1000</f>
        <v>28.992166546587221</v>
      </c>
      <c r="P12" s="110">
        <f>SUM($H47*($G$29+$H$29),$J47*($H$29+$J$29),$K47*($J$29+$K$29),$L47*($K$29+$L$29),$N47*($L$29+$N$29),$O47*($N$29+$O$29),$P47*($O$29+$P$29),$Q47*($P$29+$Q$29),$R47*($Q$29+$R$29),$T47*($R$29+$T$29),$U47*($T$29+$U$29),$V47*($U$29+$V$29),$W47*($V$29+$W$29),$Y47*($W$29+$Y$29),$Z47*($Y$29+$Z$29),$AA47*($Z$29+$AA$29),$AC47*($AA$29+$AC$29),$AD47*($AC$29+$AD$29),$AE47*($AD$29+$AE$29))*F$64/2/5/1000</f>
        <v>5.6787433076998912</v>
      </c>
      <c r="Q12" s="110">
        <f>SUM($H53*($G$29+$H$29),$J53*($H$29+$J$29),$K53*($J$29+$K$29),$L53*($K$29+$L$29),$N53*($L$29+$N$29),$O53*($N$29+$O$29),$P53*($O$29+$P$29),$Q53*($P$29+$Q$29),$R53*($Q$29+$R$29),$T53*($R$29+$T$29),$U53*($T$29+$U$29),$V53*($U$29+$V$29),$W53*($V$29+$W$29),$Y53*($W$29+$Y$29),$Z53*($Y$29+$Z$29),$AA53*($Z$29+$AA$29),$AC53*($AA$29+$AC$29),$AD53*($AC$29+$AD$29),$AE53*($AD$29+$AE$29))*$F$65/2/5/1000</f>
        <v>10.023972074809738</v>
      </c>
      <c r="R12" s="110">
        <f>H12*F$67/1000</f>
        <v>4.193946549535859</v>
      </c>
      <c r="S12" s="161"/>
      <c r="T12" s="110">
        <f>SUM(U12:W12)</f>
        <v>33.931846469178744</v>
      </c>
      <c r="U12" s="110">
        <f>O12*L$67</f>
        <v>24.652065790977925</v>
      </c>
      <c r="V12" s="110">
        <f t="shared" si="0"/>
        <v>5.7136640826415501</v>
      </c>
      <c r="W12" s="110">
        <f t="shared" si="0"/>
        <v>3.5661165955592655</v>
      </c>
      <c r="X12" s="161"/>
      <c r="Y12" s="110">
        <f>SUM(Z12:AA12)</f>
        <v>42.548219171668123</v>
      </c>
      <c r="Z12" s="110">
        <f>G12*H$67</f>
        <v>36.461473140198827</v>
      </c>
      <c r="AA12" s="110">
        <f>H12*J$67</f>
        <v>6.0867460314692998</v>
      </c>
      <c r="AB12" s="161"/>
      <c r="AC12" s="110">
        <f>SUM(AD12:AE12,AH12)</f>
        <v>6.5547577342757624</v>
      </c>
      <c r="AD12" s="110">
        <f>SUMPRODUCT(G25:H25,IF($D$4="従来",G$62:H$62,IF($D$4="省力",G$63:H$63)))/5/1000</f>
        <v>1.7276315759501044</v>
      </c>
      <c r="AE12" s="110">
        <f>SUM(AF12:AG12)</f>
        <v>1.8281945468532141</v>
      </c>
      <c r="AF12" s="110">
        <f>SUMPRODUCT(L47:R47,IF($D$4="従来",L$62:R$62,IF($D$4="省力",L$63:R$63)))/5/1000</f>
        <v>0.81614685362880002</v>
      </c>
      <c r="AG12" s="110">
        <f>V12/AK12</f>
        <v>1.012047693224414</v>
      </c>
      <c r="AH12" s="110">
        <f>(U12+W12)/AJ12</f>
        <v>2.9989316114724445</v>
      </c>
      <c r="AJ12" s="159">
        <v>9.409411764705883</v>
      </c>
      <c r="AK12" s="159">
        <v>5.6456470588235295</v>
      </c>
    </row>
    <row r="13" spans="1:37" ht="14.1" customHeight="1">
      <c r="B13" s="105" t="s">
        <v>478</v>
      </c>
      <c r="D13" s="163">
        <v>1.25</v>
      </c>
      <c r="E13" s="161"/>
      <c r="F13" s="164">
        <f>SUM(G13:H13)</f>
        <v>108.4029737598556</v>
      </c>
      <c r="G13" s="164">
        <f>F42/5</f>
        <v>76.703084274515973</v>
      </c>
      <c r="H13" s="164">
        <f>AG25*F$66</f>
        <v>31.699889485339625</v>
      </c>
      <c r="I13" s="162"/>
      <c r="J13" s="165">
        <f>SUM(K13:L13)</f>
        <v>224.02105528549038</v>
      </c>
      <c r="K13" s="165">
        <f>F48/5</f>
        <v>100.42549261280003</v>
      </c>
      <c r="L13" s="165">
        <f>F54/5</f>
        <v>123.59556267269033</v>
      </c>
      <c r="M13" s="162"/>
      <c r="N13" s="164">
        <f>SUM(O13:R13)</f>
        <v>46.364975256878203</v>
      </c>
      <c r="O13" s="50">
        <f>SUM($H42*($G$29+$H$29),$J42*($H$29+$J$29),$K42*($J$29+$K$29),$L42*($K$29+$L$29),$N42*($L$29+$N$29),$O42*($N$29+$O$29),$P42*($O$29+$P$29),$Q42*($P$29+$Q$29),$R42*($Q$29+$R$29),$T42*($R$29+$T$29),$U42*($T$29+$U$29),$V42*($U$29+$V$29),$W42*($V$29+$W$29),$Y42*($W$29+$Y$29),$Z42*($Y$29+$Z$29),$AA42*($Z$29+$AA$29),$AC42*($AA$29+$AC$29),$AD42*($AC$29+$AD$29),$AE42*($AD$29+$AE$29))/2/5/1000</f>
        <v>30.75671131624151</v>
      </c>
      <c r="P13" s="50">
        <f>SUM($H48*($G$29+$H$29),$J48*($H$29+$J$29),$K48*($J$29+$K$29),$L48*($K$29+$L$29),$N48*($L$29+$N$29),$O48*($N$29+$O$29),$P48*($O$29+$P$29),$Q48*($P$29+$Q$29),$R48*($Q$29+$R$29),$T48*($R$29+$T$29),$U48*($T$29+$U$29),$V48*($U$29+$V$29),$W48*($V$29+$W$29),$Y48*($W$29+$Y$29),$Z48*($Y$29+$Z$29),$AA48*($Z$29+$AA$29),$AC48*($AA$29+$AC$29),$AD48*($AC$29+$AD$29),$AE48*($AD$29+$AE$29))*F$64/2/5/1000</f>
        <v>4.0635688573109539</v>
      </c>
      <c r="Q13" s="50">
        <f>SUM($H54*($G$29+$H$29),$J54*($H$29+$J$29),$K54*($J$29+$K$29),$L54*($K$29+$L$29),$N54*($L$29+$N$29),$O54*($N$29+$O$29),$P54*($O$29+$P$29),$Q54*($P$29+$Q$29),$R54*($Q$29+$R$29),$T54*($R$29+$T$29),$U54*($T$29+$U$29),$V54*($U$29+$V$29),$W54*($V$29+$W$29),$Y54*($W$29+$Y$29),$Z54*($Y$29+$Z$29),$AA54*($Z$29+$AA$29),$AC54*($AA$29+$AC$29),$AD54*($AC$29+$AD$29),$AE54*($AD$29+$AE$29))*$F$65/2/5/1000</f>
        <v>7.3603096712609144</v>
      </c>
      <c r="R13" s="50">
        <f>H13*F$67/1000</f>
        <v>4.1843854120648301</v>
      </c>
      <c r="S13" s="161"/>
      <c r="T13" s="50">
        <f>SUM(U13:W13)</f>
        <v>33.9058230903522</v>
      </c>
      <c r="U13" s="50">
        <f>O13*L$67</f>
        <v>26.152459826130293</v>
      </c>
      <c r="V13" s="50">
        <f t="shared" si="0"/>
        <v>4.1953765126187212</v>
      </c>
      <c r="W13" s="50">
        <f t="shared" si="0"/>
        <v>3.5579867516031873</v>
      </c>
      <c r="X13" s="161"/>
      <c r="Y13" s="50">
        <f>SUM(Z13:AA13)</f>
        <v>43.657381084387069</v>
      </c>
      <c r="Z13" s="50">
        <f>G13*H$67</f>
        <v>37.584511294512829</v>
      </c>
      <c r="AA13" s="50">
        <f>H13*J$67</f>
        <v>6.0728697898742432</v>
      </c>
      <c r="AB13" s="161"/>
      <c r="AC13" s="50">
        <f>SUM(AD13:AE13,AH13)</f>
        <v>5.6762599126913909</v>
      </c>
      <c r="AD13" s="50">
        <f>SUMPRODUCT(G26:H26,IF($D$4="従来",G$62:H$62,IF($D$4="省力",G$63:H$63)))/5/1000</f>
        <v>1.825845872155224</v>
      </c>
      <c r="AE13" s="50">
        <f>SUM(AF13:AG13)</f>
        <v>1.2213078418923211</v>
      </c>
      <c r="AF13" s="50">
        <f>SUMPRODUCT(L48:R48,IF($D$4="従来",L$62:R$62,IF($D$4="省力",L$63:R$63)))/5/1000</f>
        <v>0.60255295567680001</v>
      </c>
      <c r="AG13" s="50">
        <f>V13/AK13</f>
        <v>0.61875488621552122</v>
      </c>
      <c r="AH13" s="50">
        <f>(U13+W13)/AJ13</f>
        <v>2.6291061986438455</v>
      </c>
      <c r="AJ13" s="159">
        <v>11.300588235294118</v>
      </c>
      <c r="AK13" s="159">
        <v>6.7803529411764698</v>
      </c>
    </row>
    <row r="14" spans="1:37" ht="14.1" customHeight="1">
      <c r="E14" s="16"/>
      <c r="F14" s="137"/>
      <c r="G14" s="137"/>
      <c r="H14" s="137"/>
      <c r="I14" s="166"/>
      <c r="J14" s="137"/>
      <c r="K14" s="137"/>
      <c r="L14" s="137"/>
      <c r="M14" s="166"/>
      <c r="N14" s="137"/>
      <c r="S14" s="16"/>
      <c r="X14" s="16"/>
      <c r="AB14" s="16"/>
      <c r="AJ14" s="34"/>
      <c r="AK14" s="34"/>
    </row>
    <row r="15" spans="1:37" ht="14.1" customHeight="1">
      <c r="E15" s="16"/>
      <c r="F15" s="137" t="s">
        <v>479</v>
      </c>
      <c r="G15" s="137"/>
      <c r="H15" s="137"/>
      <c r="I15" s="166"/>
      <c r="J15" s="137"/>
      <c r="K15" s="137"/>
      <c r="L15" s="137"/>
      <c r="M15" s="166"/>
      <c r="N15" s="137"/>
      <c r="S15" s="16"/>
      <c r="X15" s="16"/>
      <c r="AB15" s="16"/>
      <c r="AJ15" s="34"/>
      <c r="AK15" s="34"/>
    </row>
    <row r="16" spans="1:37" ht="14.1" customHeight="1">
      <c r="B16" s="106" t="s">
        <v>657</v>
      </c>
      <c r="E16" s="16"/>
      <c r="F16" s="41">
        <f t="shared" ref="F16:H19" si="1">F10/F$10*100</f>
        <v>100</v>
      </c>
      <c r="G16" s="41">
        <f t="shared" si="1"/>
        <v>100</v>
      </c>
      <c r="H16" s="41">
        <f t="shared" si="1"/>
        <v>100</v>
      </c>
      <c r="I16" s="166"/>
      <c r="J16" s="41">
        <f t="shared" ref="J16:L19" si="2">J10/J$10*100</f>
        <v>100</v>
      </c>
      <c r="K16" s="41">
        <f t="shared" si="2"/>
        <v>100</v>
      </c>
      <c r="L16" s="41">
        <f t="shared" si="2"/>
        <v>100</v>
      </c>
      <c r="M16" s="166"/>
      <c r="N16" s="41">
        <f t="shared" ref="N16:R19" si="3">N10/N$10*100</f>
        <v>100</v>
      </c>
      <c r="O16" s="9">
        <f t="shared" si="3"/>
        <v>100</v>
      </c>
      <c r="P16" s="9">
        <f t="shared" si="3"/>
        <v>100</v>
      </c>
      <c r="Q16" s="9">
        <f t="shared" si="3"/>
        <v>100</v>
      </c>
      <c r="R16" s="9">
        <f t="shared" si="3"/>
        <v>100</v>
      </c>
      <c r="S16" s="16"/>
      <c r="T16" s="9">
        <f t="shared" ref="T16:W19" si="4">T10/T$10*100</f>
        <v>100</v>
      </c>
      <c r="U16" s="9">
        <f t="shared" si="4"/>
        <v>100</v>
      </c>
      <c r="V16" s="9">
        <f t="shared" si="4"/>
        <v>100</v>
      </c>
      <c r="W16" s="9">
        <f t="shared" si="4"/>
        <v>100</v>
      </c>
      <c r="X16" s="16"/>
      <c r="Y16" s="9">
        <f t="shared" ref="Y16:AA19" si="5">Y10/Y$10*100</f>
        <v>100</v>
      </c>
      <c r="Z16" s="9">
        <f t="shared" si="5"/>
        <v>100</v>
      </c>
      <c r="AA16" s="9">
        <f t="shared" si="5"/>
        <v>100</v>
      </c>
      <c r="AB16" s="16"/>
      <c r="AC16" s="9">
        <f t="shared" ref="AC16:AH19" si="6">AC10/AC$10*100</f>
        <v>100</v>
      </c>
      <c r="AD16" s="9">
        <f t="shared" si="6"/>
        <v>100</v>
      </c>
      <c r="AE16" s="9">
        <f t="shared" si="6"/>
        <v>100</v>
      </c>
      <c r="AF16" s="9">
        <f t="shared" si="6"/>
        <v>100</v>
      </c>
      <c r="AG16" s="9">
        <f t="shared" si="6"/>
        <v>100</v>
      </c>
      <c r="AH16" s="9">
        <f t="shared" si="6"/>
        <v>100</v>
      </c>
      <c r="AJ16" s="34"/>
      <c r="AK16" s="34"/>
    </row>
    <row r="17" spans="2:37" ht="14.1" customHeight="1">
      <c r="B17" s="106" t="s">
        <v>658</v>
      </c>
      <c r="E17" s="16"/>
      <c r="F17" s="41">
        <f t="shared" si="1"/>
        <v>126.21078708561515</v>
      </c>
      <c r="G17" s="41">
        <f t="shared" si="1"/>
        <v>146.75676916105161</v>
      </c>
      <c r="H17" s="41">
        <f t="shared" si="1"/>
        <v>100.89729392148863</v>
      </c>
      <c r="I17" s="166"/>
      <c r="J17" s="41">
        <f t="shared" si="2"/>
        <v>78.620818726953019</v>
      </c>
      <c r="K17" s="41">
        <f t="shared" si="2"/>
        <v>69.092358204364473</v>
      </c>
      <c r="L17" s="41">
        <f t="shared" si="2"/>
        <v>90.078888357969845</v>
      </c>
      <c r="M17" s="166"/>
      <c r="N17" s="41">
        <f t="shared" si="3"/>
        <v>109.17598077768447</v>
      </c>
      <c r="O17" s="9">
        <f t="shared" si="3"/>
        <v>154.18003837449547</v>
      </c>
      <c r="P17" s="9">
        <f t="shared" si="3"/>
        <v>73.072776072622958</v>
      </c>
      <c r="Q17" s="9">
        <f t="shared" si="3"/>
        <v>94.283852332964642</v>
      </c>
      <c r="R17" s="9">
        <f t="shared" si="3"/>
        <v>100.89729392148863</v>
      </c>
      <c r="S17" s="16"/>
      <c r="T17" s="9">
        <f t="shared" si="4"/>
        <v>138.21909727675984</v>
      </c>
      <c r="U17" s="9">
        <f t="shared" si="4"/>
        <v>176.33549337976226</v>
      </c>
      <c r="V17" s="9">
        <f t="shared" si="4"/>
        <v>94.283852332964656</v>
      </c>
      <c r="W17" s="9">
        <f t="shared" si="4"/>
        <v>115.39609337178445</v>
      </c>
      <c r="X17" s="16"/>
      <c r="Y17" s="9">
        <f t="shared" si="5"/>
        <v>135.95395426854319</v>
      </c>
      <c r="Z17" s="9">
        <f t="shared" si="5"/>
        <v>147.10497782958984</v>
      </c>
      <c r="AA17" s="9">
        <f t="shared" si="5"/>
        <v>100.89729392148863</v>
      </c>
      <c r="AB17" s="16"/>
      <c r="AC17" s="9">
        <f t="shared" si="6"/>
        <v>88.804858203455865</v>
      </c>
      <c r="AD17" s="9">
        <f t="shared" si="6"/>
        <v>72.246221227081548</v>
      </c>
      <c r="AE17" s="9">
        <f t="shared" si="6"/>
        <v>75.979449034738948</v>
      </c>
      <c r="AF17" s="9">
        <f t="shared" si="6"/>
        <v>69.092358204364459</v>
      </c>
      <c r="AG17" s="9">
        <f t="shared" si="6"/>
        <v>82.003991518076219</v>
      </c>
      <c r="AH17" s="9">
        <f t="shared" si="6"/>
        <v>121.01815314117211</v>
      </c>
      <c r="AJ17" s="34"/>
      <c r="AK17" s="34"/>
    </row>
    <row r="18" spans="2:37" ht="14.1" customHeight="1">
      <c r="B18" s="106" t="s">
        <v>477</v>
      </c>
      <c r="E18" s="16"/>
      <c r="F18" s="41">
        <f t="shared" si="1"/>
        <v>150.72808254939721</v>
      </c>
      <c r="G18" s="41">
        <f t="shared" si="1"/>
        <v>191.3605024414675</v>
      </c>
      <c r="H18" s="41">
        <f t="shared" si="1"/>
        <v>100.66727360858197</v>
      </c>
      <c r="I18" s="166"/>
      <c r="J18" s="41">
        <f t="shared" si="2"/>
        <v>59.199642490305671</v>
      </c>
      <c r="K18" s="41">
        <f t="shared" si="2"/>
        <v>48.223513259595556</v>
      </c>
      <c r="L18" s="41">
        <f t="shared" si="2"/>
        <v>72.398548305822388</v>
      </c>
      <c r="M18" s="166"/>
      <c r="N18" s="41">
        <f t="shared" si="3"/>
        <v>115.48987706878829</v>
      </c>
      <c r="O18" s="9">
        <f t="shared" si="3"/>
        <v>206.98368553364855</v>
      </c>
      <c r="P18" s="9">
        <f t="shared" si="3"/>
        <v>51.015697648617639</v>
      </c>
      <c r="Q18" s="9">
        <f t="shared" si="3"/>
        <v>76.946439783055595</v>
      </c>
      <c r="R18" s="9">
        <f t="shared" si="3"/>
        <v>100.66727360858197</v>
      </c>
      <c r="S18" s="16"/>
      <c r="T18" s="9">
        <f t="shared" si="4"/>
        <v>162.0694431221516</v>
      </c>
      <c r="U18" s="9">
        <f t="shared" si="4"/>
        <v>236.72695048553766</v>
      </c>
      <c r="V18" s="9">
        <f t="shared" si="4"/>
        <v>76.946439783055595</v>
      </c>
      <c r="W18" s="9">
        <f t="shared" si="4"/>
        <v>115.13301946292182</v>
      </c>
      <c r="X18" s="16"/>
      <c r="Y18" s="9">
        <f t="shared" si="5"/>
        <v>169.81851775245588</v>
      </c>
      <c r="Z18" s="9">
        <f t="shared" si="5"/>
        <v>191.81454204827318</v>
      </c>
      <c r="AA18" s="9">
        <f t="shared" si="5"/>
        <v>100.66727360858197</v>
      </c>
      <c r="AB18" s="16"/>
      <c r="AC18" s="9">
        <f t="shared" si="6"/>
        <v>82.586403411389483</v>
      </c>
      <c r="AD18" s="9">
        <f t="shared" si="6"/>
        <v>91.279795068761885</v>
      </c>
      <c r="AE18" s="9">
        <f t="shared" si="6"/>
        <v>50.402935776033566</v>
      </c>
      <c r="AF18" s="9">
        <f t="shared" si="6"/>
        <v>48.223513259595542</v>
      </c>
      <c r="AG18" s="9">
        <f t="shared" si="6"/>
        <v>52.309404539522866</v>
      </c>
      <c r="AH18" s="9">
        <f t="shared" si="6"/>
        <v>124.0759514714113</v>
      </c>
      <c r="AJ18" s="34"/>
      <c r="AK18" s="34"/>
    </row>
    <row r="19" spans="2:37" ht="14.1" customHeight="1">
      <c r="B19" s="106" t="s">
        <v>478</v>
      </c>
      <c r="C19" s="2"/>
      <c r="D19" s="2"/>
      <c r="E19" s="2"/>
      <c r="F19" s="41">
        <f t="shared" si="1"/>
        <v>153.87864974883288</v>
      </c>
      <c r="G19" s="41">
        <f t="shared" si="1"/>
        <v>197.25453597774646</v>
      </c>
      <c r="H19" s="41">
        <f t="shared" si="1"/>
        <v>100.43777768381588</v>
      </c>
      <c r="I19" s="136"/>
      <c r="J19" s="41">
        <f t="shared" si="2"/>
        <v>43.361215021720604</v>
      </c>
      <c r="K19" s="41">
        <f t="shared" si="2"/>
        <v>35.602931406881908</v>
      </c>
      <c r="L19" s="41">
        <f t="shared" si="2"/>
        <v>52.690629113877499</v>
      </c>
      <c r="M19" s="136"/>
      <c r="N19" s="41">
        <f t="shared" si="3"/>
        <v>109.52778905419234</v>
      </c>
      <c r="O19" s="9">
        <f t="shared" si="3"/>
        <v>219.5812945852274</v>
      </c>
      <c r="P19" s="9">
        <f t="shared" si="3"/>
        <v>36.505576844409461</v>
      </c>
      <c r="Q19" s="9">
        <f t="shared" si="3"/>
        <v>56.499521415024432</v>
      </c>
      <c r="R19" s="9">
        <f t="shared" si="3"/>
        <v>100.43777768381585</v>
      </c>
      <c r="S19" s="2"/>
      <c r="T19" s="9">
        <f t="shared" si="4"/>
        <v>161.9451470712896</v>
      </c>
      <c r="U19" s="9">
        <f t="shared" si="4"/>
        <v>251.13481826748637</v>
      </c>
      <c r="V19" s="9">
        <f t="shared" si="4"/>
        <v>56.499521415024446</v>
      </c>
      <c r="W19" s="9">
        <f t="shared" si="4"/>
        <v>114.87054529603921</v>
      </c>
      <c r="X19" s="2"/>
      <c r="Y19" s="9">
        <f t="shared" si="5"/>
        <v>174.24540648322636</v>
      </c>
      <c r="Z19" s="9">
        <f t="shared" si="5"/>
        <v>197.72256031303667</v>
      </c>
      <c r="AA19" s="9">
        <f t="shared" si="5"/>
        <v>100.43777768381588</v>
      </c>
      <c r="AB19" s="2"/>
      <c r="AC19" s="9">
        <f t="shared" si="6"/>
        <v>71.517805847514765</v>
      </c>
      <c r="AD19" s="9">
        <f t="shared" si="6"/>
        <v>96.46896905424876</v>
      </c>
      <c r="AE19" s="9">
        <f t="shared" si="6"/>
        <v>33.671198080981512</v>
      </c>
      <c r="AF19" s="9">
        <f t="shared" si="6"/>
        <v>35.602931406881901</v>
      </c>
      <c r="AG19" s="9">
        <f t="shared" si="6"/>
        <v>31.981397586839876</v>
      </c>
      <c r="AH19" s="10">
        <f t="shared" si="6"/>
        <v>108.77502236736743</v>
      </c>
      <c r="AJ19" s="34"/>
      <c r="AK19" s="34"/>
    </row>
    <row r="20" spans="2:37" ht="14.1" customHeight="1">
      <c r="B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  <c r="AJ20" s="34"/>
      <c r="AK20" s="34"/>
    </row>
    <row r="21" spans="2:37" ht="14.1" customHeight="1">
      <c r="B21" s="250"/>
      <c r="C21" s="2"/>
      <c r="D21" s="2"/>
      <c r="E21" s="2"/>
      <c r="F21" s="29" t="s">
        <v>506</v>
      </c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G21" s="8" t="s">
        <v>507</v>
      </c>
      <c r="AJ21" s="34"/>
      <c r="AK21" s="34"/>
    </row>
    <row r="22" spans="2:37" ht="14.1" customHeight="1">
      <c r="B22" s="250" t="s">
        <v>659</v>
      </c>
      <c r="C22" s="86"/>
      <c r="D22" s="86"/>
      <c r="E22" s="86"/>
      <c r="F22" s="250" t="s">
        <v>660</v>
      </c>
      <c r="G22" s="250" t="s">
        <v>373</v>
      </c>
      <c r="H22" s="250">
        <v>2</v>
      </c>
      <c r="I22" s="250"/>
      <c r="J22" s="250">
        <v>3</v>
      </c>
      <c r="K22" s="250">
        <v>4</v>
      </c>
      <c r="L22" s="250">
        <v>5</v>
      </c>
      <c r="M22" s="250"/>
      <c r="N22" s="250">
        <v>6</v>
      </c>
      <c r="O22" s="250">
        <v>7</v>
      </c>
      <c r="P22" s="250">
        <v>8</v>
      </c>
      <c r="Q22" s="250">
        <v>9</v>
      </c>
      <c r="R22" s="250">
        <v>10</v>
      </c>
      <c r="S22" s="250"/>
      <c r="T22" s="250">
        <v>11</v>
      </c>
      <c r="U22" s="250">
        <v>12</v>
      </c>
      <c r="V22" s="250">
        <v>13</v>
      </c>
      <c r="W22" s="250">
        <v>14</v>
      </c>
      <c r="X22" s="250"/>
      <c r="Y22" s="250">
        <v>15</v>
      </c>
      <c r="Z22" s="250">
        <v>16</v>
      </c>
      <c r="AA22" s="250">
        <v>17</v>
      </c>
      <c r="AB22" s="250"/>
      <c r="AC22" s="250">
        <v>18</v>
      </c>
      <c r="AD22" s="250">
        <v>19</v>
      </c>
      <c r="AE22" s="122" t="s">
        <v>510</v>
      </c>
      <c r="AG22" s="250" t="s">
        <v>511</v>
      </c>
      <c r="AJ22" s="34"/>
      <c r="AK22" s="34"/>
    </row>
    <row r="23" spans="2:37" ht="14.1" customHeight="1">
      <c r="B23" s="8">
        <v>2015</v>
      </c>
      <c r="F23" s="9">
        <f>SUM(G23:AE23)</f>
        <v>10342.3419624</v>
      </c>
      <c r="G23" s="9">
        <v>125.12</v>
      </c>
      <c r="H23" s="9">
        <v>152.846</v>
      </c>
      <c r="I23" s="9"/>
      <c r="J23" s="9">
        <v>155.81800000000001</v>
      </c>
      <c r="K23" s="9">
        <v>187.87464800000004</v>
      </c>
      <c r="L23" s="9">
        <v>275.09533120000003</v>
      </c>
      <c r="M23" s="9"/>
      <c r="N23" s="9">
        <v>441.60016720000004</v>
      </c>
      <c r="O23" s="9">
        <v>688.91927360000011</v>
      </c>
      <c r="P23" s="9">
        <v>952.68393360000005</v>
      </c>
      <c r="Q23" s="9">
        <v>1283.0745584000001</v>
      </c>
      <c r="R23" s="9">
        <v>1569.2706584000002</v>
      </c>
      <c r="S23" s="9"/>
      <c r="T23" s="9">
        <v>1543.0973488</v>
      </c>
      <c r="U23" s="9">
        <v>1229.1642455999997</v>
      </c>
      <c r="V23" s="9">
        <v>679.21071119999999</v>
      </c>
      <c r="W23" s="9">
        <v>281.75239600000003</v>
      </c>
      <c r="X23" s="9"/>
      <c r="Y23" s="9">
        <v>180.00878799999998</v>
      </c>
      <c r="Z23" s="9">
        <v>152.03903999999997</v>
      </c>
      <c r="AA23" s="9">
        <v>123.28037839999999</v>
      </c>
      <c r="AB23" s="9"/>
      <c r="AC23" s="9">
        <v>97.053370399999991</v>
      </c>
      <c r="AD23" s="9">
        <v>120.86067680000001</v>
      </c>
      <c r="AE23" s="9">
        <v>103.57243680000002</v>
      </c>
      <c r="AG23" s="9">
        <v>13380.111302381201</v>
      </c>
      <c r="AJ23" s="34"/>
      <c r="AK23" s="34"/>
    </row>
    <row r="24" spans="2:37" ht="14.1" customHeight="1">
      <c r="B24" s="8">
        <v>2020</v>
      </c>
      <c r="F24" s="9">
        <f>SUM(G24:AE24)</f>
        <v>10227.324741317501</v>
      </c>
      <c r="G24" s="9">
        <f>Y11*5</f>
        <v>170.31707495837171</v>
      </c>
      <c r="H24" s="9">
        <f>G23-H40</f>
        <v>125.12</v>
      </c>
      <c r="I24" s="9"/>
      <c r="J24" s="9">
        <f>H23-J40</f>
        <v>152.846</v>
      </c>
      <c r="K24" s="9">
        <f t="shared" ref="K24:L26" si="7">J23-K40</f>
        <v>155.81800000000001</v>
      </c>
      <c r="L24" s="9">
        <f t="shared" si="7"/>
        <v>187.87464800000004</v>
      </c>
      <c r="M24" s="9"/>
      <c r="N24" s="9">
        <f>L23-N40</f>
        <v>275.09533120000003</v>
      </c>
      <c r="O24" s="9">
        <f t="shared" ref="O24:R26" si="8">N23-O40</f>
        <v>441.60016720000004</v>
      </c>
      <c r="P24" s="9">
        <f t="shared" si="8"/>
        <v>688.91927360000011</v>
      </c>
      <c r="Q24" s="9">
        <f t="shared" si="8"/>
        <v>952.68393360000005</v>
      </c>
      <c r="R24" s="9">
        <f t="shared" si="8"/>
        <v>1245.5446275668</v>
      </c>
      <c r="S24" s="9"/>
      <c r="T24" s="9">
        <f>R23-T40</f>
        <v>1523.3694916418003</v>
      </c>
      <c r="U24" s="9">
        <f t="shared" ref="U24:W26" si="9">T23-U40</f>
        <v>1483.5183601628319</v>
      </c>
      <c r="V24" s="9">
        <f t="shared" si="9"/>
        <v>1170.2012367385678</v>
      </c>
      <c r="W24" s="9">
        <f t="shared" si="9"/>
        <v>646.62897338373602</v>
      </c>
      <c r="X24" s="9"/>
      <c r="Y24" s="9">
        <f>W23-Y40</f>
        <v>268.23673356388002</v>
      </c>
      <c r="Z24" s="9">
        <f t="shared" ref="Z24:AA26" si="10">Y23-Z40</f>
        <v>171.37376643963998</v>
      </c>
      <c r="AA24" s="9">
        <f t="shared" si="10"/>
        <v>144.74572725119998</v>
      </c>
      <c r="AB24" s="9"/>
      <c r="AC24" s="9">
        <f>AA23-AC40</f>
        <v>117.36661864815198</v>
      </c>
      <c r="AD24" s="9">
        <f>AC23-AD40</f>
        <v>92.397720221911996</v>
      </c>
      <c r="AE24" s="9">
        <f>AD23+AE23-AE40</f>
        <v>213.66705714060802</v>
      </c>
      <c r="AG24" s="9">
        <f>AG23-AA11*5</f>
        <v>13349.608032482856</v>
      </c>
      <c r="AJ24" s="34"/>
      <c r="AK24" s="34"/>
    </row>
    <row r="25" spans="2:37" ht="14.1" customHeight="1">
      <c r="B25" s="8">
        <v>2025</v>
      </c>
      <c r="F25" s="9">
        <f>SUM(G25:AE25)</f>
        <v>10068.009988806465</v>
      </c>
      <c r="G25" s="9">
        <f>Y12*5</f>
        <v>212.7410958583406</v>
      </c>
      <c r="H25" s="9">
        <f>G24-H41</f>
        <v>170.31707495837171</v>
      </c>
      <c r="I25" s="9"/>
      <c r="J25" s="9">
        <f>H24-J41</f>
        <v>125.12</v>
      </c>
      <c r="K25" s="9">
        <f t="shared" si="7"/>
        <v>152.846</v>
      </c>
      <c r="L25" s="9">
        <f t="shared" si="7"/>
        <v>155.81800000000001</v>
      </c>
      <c r="M25" s="9"/>
      <c r="N25" s="9">
        <f>L24-N41</f>
        <v>187.87464800000004</v>
      </c>
      <c r="O25" s="9">
        <f t="shared" si="8"/>
        <v>275.09533120000003</v>
      </c>
      <c r="P25" s="9">
        <f t="shared" si="8"/>
        <v>441.60016720000004</v>
      </c>
      <c r="Q25" s="9">
        <f t="shared" si="8"/>
        <v>688.91927360000011</v>
      </c>
      <c r="R25" s="9">
        <f t="shared" si="8"/>
        <v>921.24536379120002</v>
      </c>
      <c r="S25" s="9"/>
      <c r="T25" s="9">
        <f>R24-T41</f>
        <v>1204.4416548570957</v>
      </c>
      <c r="U25" s="9">
        <f t="shared" si="9"/>
        <v>1457.0115165858836</v>
      </c>
      <c r="V25" s="9">
        <f t="shared" si="9"/>
        <v>1403.2303465108193</v>
      </c>
      <c r="W25" s="9">
        <f t="shared" si="9"/>
        <v>1106.8699458062765</v>
      </c>
      <c r="X25" s="9"/>
      <c r="Y25" s="9">
        <f>W24-Y41</f>
        <v>611.63341334420818</v>
      </c>
      <c r="Z25" s="9">
        <f t="shared" si="10"/>
        <v>253.71976154340283</v>
      </c>
      <c r="AA25" s="9">
        <f t="shared" si="10"/>
        <v>162.09901819992666</v>
      </c>
      <c r="AB25" s="9"/>
      <c r="AC25" s="9">
        <f>AA24-AC41</f>
        <v>136.91208849236503</v>
      </c>
      <c r="AD25" s="9">
        <f>AC24-AD41</f>
        <v>111.014737246914</v>
      </c>
      <c r="AE25" s="9">
        <f>AD24+AE24-AE41</f>
        <v>289.50055161166046</v>
      </c>
      <c r="AG25" s="9">
        <f>AG24-AA12*5</f>
        <v>13319.174302325509</v>
      </c>
      <c r="AJ25" s="34"/>
      <c r="AK25" s="34"/>
    </row>
    <row r="26" spans="2:37" ht="13.5" customHeight="1">
      <c r="B26" s="8">
        <v>2030</v>
      </c>
      <c r="F26" s="9">
        <f>SUM(G26:AE26)</f>
        <v>9902.7814728558187</v>
      </c>
      <c r="G26" s="9">
        <f>Y13*5</f>
        <v>218.28690542193533</v>
      </c>
      <c r="H26" s="9">
        <f>G25-H42</f>
        <v>212.7410958583406</v>
      </c>
      <c r="I26" s="9"/>
      <c r="J26" s="9">
        <f>H25-J42</f>
        <v>170.31707495837171</v>
      </c>
      <c r="K26" s="9">
        <f t="shared" si="7"/>
        <v>125.12</v>
      </c>
      <c r="L26" s="9">
        <f t="shared" si="7"/>
        <v>152.846</v>
      </c>
      <c r="M26" s="9"/>
      <c r="N26" s="9">
        <f>L25-N42</f>
        <v>155.81800000000001</v>
      </c>
      <c r="O26" s="9">
        <f t="shared" si="8"/>
        <v>187.87464800000004</v>
      </c>
      <c r="P26" s="9">
        <f t="shared" si="8"/>
        <v>275.09533120000003</v>
      </c>
      <c r="Q26" s="9">
        <f t="shared" si="8"/>
        <v>441.60016720000004</v>
      </c>
      <c r="R26" s="9">
        <f t="shared" si="8"/>
        <v>667.3905463000001</v>
      </c>
      <c r="S26" s="9"/>
      <c r="T26" s="9">
        <f>R25-T42</f>
        <v>892.45644617272501</v>
      </c>
      <c r="U26" s="9">
        <f t="shared" si="9"/>
        <v>1154.7584365942405</v>
      </c>
      <c r="V26" s="9">
        <f t="shared" si="9"/>
        <v>1382.3396763608571</v>
      </c>
      <c r="W26" s="9">
        <f t="shared" si="9"/>
        <v>1331.3147912521399</v>
      </c>
      <c r="X26" s="9"/>
      <c r="Y26" s="9">
        <f>W25-Y42</f>
        <v>1050.1428610837049</v>
      </c>
      <c r="Z26" s="9">
        <f t="shared" si="10"/>
        <v>580.28720091031755</v>
      </c>
      <c r="AA26" s="9">
        <f t="shared" si="10"/>
        <v>240.71662376430342</v>
      </c>
      <c r="AB26" s="9"/>
      <c r="AC26" s="9">
        <f>AA25-AC42</f>
        <v>153.79144351718043</v>
      </c>
      <c r="AD26" s="9">
        <f>AC25-AD42</f>
        <v>129.89534395713133</v>
      </c>
      <c r="AE26" s="9">
        <f>AD25+AE25-AE42</f>
        <v>379.98888030457249</v>
      </c>
      <c r="AF26" s="16"/>
      <c r="AG26" s="9">
        <f>AG25-AA13*5</f>
        <v>13288.809953376138</v>
      </c>
      <c r="AJ26" s="34"/>
      <c r="AK26" s="34"/>
    </row>
    <row r="27" spans="2:37" ht="14.1" customHeight="1"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6"/>
      <c r="AG27" s="131"/>
      <c r="AJ27" s="34"/>
      <c r="AK27" s="34"/>
    </row>
    <row r="28" spans="2:37" ht="14.1" customHeight="1">
      <c r="B28" s="2" t="s">
        <v>676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J28" s="34"/>
      <c r="AK28" s="34"/>
    </row>
    <row r="29" spans="2:37" ht="14.1" customHeight="1">
      <c r="B29" s="2"/>
      <c r="C29" s="2"/>
      <c r="D29" s="2"/>
      <c r="E29" s="2"/>
      <c r="F29" s="10"/>
      <c r="G29" s="10">
        <v>2.5418159173657018</v>
      </c>
      <c r="H29" s="10">
        <v>19.218561545119258</v>
      </c>
      <c r="I29" s="10"/>
      <c r="J29" s="10">
        <v>59.444086449388855</v>
      </c>
      <c r="K29" s="10">
        <v>101.70554101675621</v>
      </c>
      <c r="L29" s="10">
        <v>142.42039829131841</v>
      </c>
      <c r="M29" s="10"/>
      <c r="N29" s="10">
        <v>184.11789616923113</v>
      </c>
      <c r="O29" s="10">
        <v>225.67870510384969</v>
      </c>
      <c r="P29" s="10">
        <v>265.8357076285314</v>
      </c>
      <c r="Q29" s="10">
        <v>300.60734949120643</v>
      </c>
      <c r="R29" s="10">
        <v>327.38597497518919</v>
      </c>
      <c r="S29" s="10"/>
      <c r="T29" s="10">
        <v>352.81287703595541</v>
      </c>
      <c r="U29" s="10">
        <v>377.04846730620136</v>
      </c>
      <c r="V29" s="10">
        <v>401.04600296498791</v>
      </c>
      <c r="W29" s="10">
        <v>427.85009027580855</v>
      </c>
      <c r="X29" s="10"/>
      <c r="Y29" s="10">
        <v>443.15125803055139</v>
      </c>
      <c r="Z29" s="10">
        <v>443.15125803055139</v>
      </c>
      <c r="AA29" s="10">
        <v>443.15125803055139</v>
      </c>
      <c r="AB29" s="10"/>
      <c r="AC29" s="10">
        <v>443.15125803055139</v>
      </c>
      <c r="AD29" s="10">
        <v>443.15125803055139</v>
      </c>
      <c r="AE29" s="10">
        <v>443.15125803055139</v>
      </c>
      <c r="AJ29" s="34"/>
      <c r="AK29" s="34"/>
    </row>
    <row r="30" spans="2:37" ht="14.1" customHeight="1">
      <c r="B30" s="16"/>
      <c r="C30" s="16"/>
      <c r="D30" s="16"/>
      <c r="E30" s="16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J30" s="34"/>
      <c r="AK30" s="34"/>
    </row>
    <row r="31" spans="2:37" ht="14.1" customHeight="1">
      <c r="B31" t="s">
        <v>697</v>
      </c>
      <c r="AJ31" s="34"/>
      <c r="AK31" s="34"/>
    </row>
    <row r="32" spans="2:37" ht="14.1" customHeight="1">
      <c r="AJ32" s="34"/>
      <c r="AK32" s="34"/>
    </row>
    <row r="33" spans="1:37" ht="14.1" customHeight="1">
      <c r="AJ33" s="34"/>
      <c r="AK33" s="34"/>
    </row>
    <row r="34" spans="1:37">
      <c r="AJ34" s="34"/>
      <c r="AK34" s="34"/>
    </row>
    <row r="35" spans="1:37">
      <c r="AJ35" s="34"/>
      <c r="AK35" s="34"/>
    </row>
    <row r="36" spans="1:37" hidden="1">
      <c r="A36" s="153" t="s">
        <v>516</v>
      </c>
      <c r="B36" s="34" t="s">
        <v>517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</row>
    <row r="37" spans="1:37" hidden="1">
      <c r="A37" s="34"/>
      <c r="B37" s="156"/>
      <c r="C37" s="156"/>
      <c r="D37" s="156"/>
      <c r="E37" s="156"/>
      <c r="F37" s="156" t="s">
        <v>518</v>
      </c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34"/>
      <c r="AG37" s="34"/>
      <c r="AH37" s="34"/>
      <c r="AI37" s="34"/>
      <c r="AJ37" s="34"/>
      <c r="AK37" s="34"/>
    </row>
    <row r="38" spans="1:37" ht="14.1" hidden="1" customHeight="1">
      <c r="A38" s="34"/>
      <c r="B38" s="256" t="s">
        <v>661</v>
      </c>
      <c r="C38" s="168"/>
      <c r="D38" s="168"/>
      <c r="E38" s="156"/>
      <c r="F38" s="257" t="s">
        <v>372</v>
      </c>
      <c r="G38" s="257" t="s">
        <v>373</v>
      </c>
      <c r="H38" s="257">
        <v>2</v>
      </c>
      <c r="I38" s="257"/>
      <c r="J38" s="257">
        <v>3</v>
      </c>
      <c r="K38" s="257">
        <v>4</v>
      </c>
      <c r="L38" s="257">
        <v>5</v>
      </c>
      <c r="M38" s="257"/>
      <c r="N38" s="257">
        <v>6</v>
      </c>
      <c r="O38" s="257">
        <v>7</v>
      </c>
      <c r="P38" s="257">
        <v>8</v>
      </c>
      <c r="Q38" s="257">
        <v>9</v>
      </c>
      <c r="R38" s="257">
        <v>10</v>
      </c>
      <c r="S38" s="257"/>
      <c r="T38" s="257">
        <v>11</v>
      </c>
      <c r="U38" s="257">
        <v>12</v>
      </c>
      <c r="V38" s="257">
        <v>13</v>
      </c>
      <c r="W38" s="257">
        <v>14</v>
      </c>
      <c r="X38" s="257"/>
      <c r="Y38" s="257">
        <v>15</v>
      </c>
      <c r="Z38" s="257">
        <v>16</v>
      </c>
      <c r="AA38" s="257">
        <v>17</v>
      </c>
      <c r="AB38" s="257"/>
      <c r="AC38" s="257">
        <v>18</v>
      </c>
      <c r="AD38" s="257">
        <v>19</v>
      </c>
      <c r="AE38" s="257" t="s">
        <v>510</v>
      </c>
      <c r="AF38" s="34"/>
      <c r="AG38" s="34"/>
      <c r="AH38" s="34"/>
      <c r="AI38" s="34"/>
      <c r="AJ38" s="34"/>
      <c r="AK38" s="34"/>
    </row>
    <row r="39" spans="1:37" ht="14.1" hidden="1" customHeight="1">
      <c r="A39" s="34"/>
      <c r="B39" s="170" t="s">
        <v>520</v>
      </c>
      <c r="C39" s="34"/>
      <c r="D39" s="34"/>
      <c r="E39" s="34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4"/>
      <c r="AG39" s="34"/>
      <c r="AH39" s="34"/>
      <c r="AI39" s="34"/>
      <c r="AJ39" s="34"/>
      <c r="AK39" s="34"/>
    </row>
    <row r="40" spans="1:37" ht="14.1" hidden="1" customHeight="1">
      <c r="A40" s="34"/>
      <c r="B40" s="171" t="s">
        <v>476</v>
      </c>
      <c r="C40" s="34"/>
      <c r="D40" s="34"/>
      <c r="E40" s="34"/>
      <c r="F40" s="172">
        <f>SUM(G40:AE40)</f>
        <v>285.334296040872</v>
      </c>
      <c r="G40" s="172">
        <f t="shared" ref="G40:H42" si="11">F23*G$59*$D11*5</f>
        <v>0</v>
      </c>
      <c r="H40" s="172">
        <f t="shared" si="11"/>
        <v>0</v>
      </c>
      <c r="I40" s="172"/>
      <c r="J40" s="172">
        <f>H23*J$59*$D11*5</f>
        <v>0</v>
      </c>
      <c r="K40" s="172">
        <f t="shared" ref="K40:L42" si="12">J23*K$59*$D11*5</f>
        <v>0</v>
      </c>
      <c r="L40" s="172">
        <f t="shared" si="12"/>
        <v>0</v>
      </c>
      <c r="M40" s="172"/>
      <c r="N40" s="172">
        <f>L23*N$59*$D11*5</f>
        <v>0</v>
      </c>
      <c r="O40" s="172">
        <f t="shared" ref="O40:R42" si="13">N23*O$59*$D11*5</f>
        <v>0</v>
      </c>
      <c r="P40" s="172">
        <f t="shared" si="13"/>
        <v>0</v>
      </c>
      <c r="Q40" s="172">
        <f t="shared" si="13"/>
        <v>0</v>
      </c>
      <c r="R40" s="172">
        <f t="shared" si="13"/>
        <v>37.529930833199998</v>
      </c>
      <c r="S40" s="172"/>
      <c r="T40" s="172">
        <f>R23*T$59*$D11*5</f>
        <v>45.901166758200006</v>
      </c>
      <c r="U40" s="172">
        <f t="shared" ref="U40:W42" si="14">T23*U$59*$D11*5</f>
        <v>59.578988637167996</v>
      </c>
      <c r="V40" s="172">
        <f t="shared" si="14"/>
        <v>58.96300886143198</v>
      </c>
      <c r="W40" s="172">
        <f t="shared" si="14"/>
        <v>32.581737816263995</v>
      </c>
      <c r="X40" s="172"/>
      <c r="Y40" s="172">
        <f>W23*Y$59*$D11*5</f>
        <v>13.515662436120001</v>
      </c>
      <c r="Z40" s="172">
        <f t="shared" ref="Z40:AA42" si="15">Y23*Z$59*$D11*5</f>
        <v>8.6350215603600002</v>
      </c>
      <c r="AA40" s="172">
        <f t="shared" si="15"/>
        <v>7.2933127487999982</v>
      </c>
      <c r="AB40" s="172"/>
      <c r="AC40" s="172">
        <f>AA23*AC$59*$D11*5</f>
        <v>5.9137597518479996</v>
      </c>
      <c r="AD40" s="172">
        <f>AC23*AD$59*$D11*5</f>
        <v>4.655650178088</v>
      </c>
      <c r="AE40" s="172">
        <f>(AD23+AE23)*AE$59*$D11*5</f>
        <v>10.766056459392001</v>
      </c>
      <c r="AF40" s="34"/>
      <c r="AG40" s="34"/>
      <c r="AH40" s="34"/>
      <c r="AI40" s="34"/>
      <c r="AJ40" s="34"/>
      <c r="AK40" s="34"/>
    </row>
    <row r="41" spans="1:37" ht="14.1" hidden="1" customHeight="1">
      <c r="A41" s="34"/>
      <c r="B41" s="171" t="s">
        <v>477</v>
      </c>
      <c r="C41" s="34"/>
      <c r="D41" s="34"/>
      <c r="E41" s="34"/>
      <c r="F41" s="172">
        <f>SUM(G41:AE41)</f>
        <v>372.05584836937578</v>
      </c>
      <c r="G41" s="172">
        <f t="shared" si="11"/>
        <v>0</v>
      </c>
      <c r="H41" s="172">
        <f t="shared" si="11"/>
        <v>0</v>
      </c>
      <c r="I41" s="172"/>
      <c r="J41" s="172">
        <f>H24*J$59*$D12*5</f>
        <v>0</v>
      </c>
      <c r="K41" s="172">
        <f t="shared" si="12"/>
        <v>0</v>
      </c>
      <c r="L41" s="172">
        <f t="shared" si="12"/>
        <v>0</v>
      </c>
      <c r="M41" s="172"/>
      <c r="N41" s="172">
        <f>L24*N$59*$D12*5</f>
        <v>0</v>
      </c>
      <c r="O41" s="172">
        <f t="shared" si="13"/>
        <v>0</v>
      </c>
      <c r="P41" s="172">
        <f t="shared" si="13"/>
        <v>0</v>
      </c>
      <c r="Q41" s="172">
        <f t="shared" si="13"/>
        <v>0</v>
      </c>
      <c r="R41" s="172">
        <f t="shared" si="13"/>
        <v>31.438569808800004</v>
      </c>
      <c r="S41" s="172"/>
      <c r="T41" s="172">
        <f>R24*T$59*$D12*5</f>
        <v>41.10297270970441</v>
      </c>
      <c r="U41" s="172">
        <f t="shared" si="14"/>
        <v>66.357975055916825</v>
      </c>
      <c r="V41" s="172">
        <f t="shared" si="14"/>
        <v>80.288013652012467</v>
      </c>
      <c r="W41" s="172">
        <f t="shared" si="14"/>
        <v>63.331290932291296</v>
      </c>
      <c r="X41" s="172"/>
      <c r="Y41" s="172">
        <f>W24*Y$59*$D12*5</f>
        <v>34.995560039527795</v>
      </c>
      <c r="Z41" s="172">
        <f t="shared" si="15"/>
        <v>14.516972020477191</v>
      </c>
      <c r="AA41" s="172">
        <f t="shared" si="15"/>
        <v>9.2747482397133183</v>
      </c>
      <c r="AB41" s="172"/>
      <c r="AC41" s="172">
        <f>AA24*AC$59*$D12*5</f>
        <v>7.8336387588349439</v>
      </c>
      <c r="AD41" s="172">
        <f>AC24*AD$59*$D12*5</f>
        <v>6.3518814012379865</v>
      </c>
      <c r="AE41" s="172">
        <f>(AD24+AE24)*AE$59*$D12*5</f>
        <v>16.564225750859588</v>
      </c>
      <c r="AF41" s="34"/>
      <c r="AG41" s="34"/>
      <c r="AH41" s="34"/>
      <c r="AI41" s="34"/>
      <c r="AJ41" s="34"/>
      <c r="AK41" s="34"/>
    </row>
    <row r="42" spans="1:37" ht="14.1" hidden="1" customHeight="1">
      <c r="A42" s="34"/>
      <c r="B42" s="171" t="s">
        <v>478</v>
      </c>
      <c r="C42" s="34"/>
      <c r="D42" s="34"/>
      <c r="E42" s="34"/>
      <c r="F42" s="172">
        <f>SUM(G42:AE42)</f>
        <v>383.51542137257985</v>
      </c>
      <c r="G42" s="172">
        <f t="shared" si="11"/>
        <v>0</v>
      </c>
      <c r="H42" s="172">
        <f t="shared" si="11"/>
        <v>0</v>
      </c>
      <c r="I42" s="172"/>
      <c r="J42" s="172">
        <f>H25*J$59*$D13*5</f>
        <v>0</v>
      </c>
      <c r="K42" s="172">
        <f t="shared" si="12"/>
        <v>0</v>
      </c>
      <c r="L42" s="172">
        <f t="shared" si="12"/>
        <v>0</v>
      </c>
      <c r="M42" s="172"/>
      <c r="N42" s="172">
        <f>L25*N$59*$D13*5</f>
        <v>0</v>
      </c>
      <c r="O42" s="172">
        <f t="shared" si="13"/>
        <v>0</v>
      </c>
      <c r="P42" s="172">
        <f t="shared" si="13"/>
        <v>0</v>
      </c>
      <c r="Q42" s="172">
        <f t="shared" si="13"/>
        <v>0</v>
      </c>
      <c r="R42" s="172">
        <f t="shared" si="13"/>
        <v>21.528727300000003</v>
      </c>
      <c r="S42" s="172"/>
      <c r="T42" s="172">
        <f>R25*T$59*$D13*5</f>
        <v>28.788917618475001</v>
      </c>
      <c r="U42" s="172">
        <f t="shared" si="14"/>
        <v>49.683218262855192</v>
      </c>
      <c r="V42" s="172">
        <f t="shared" si="14"/>
        <v>74.671840225026543</v>
      </c>
      <c r="W42" s="172">
        <f t="shared" si="14"/>
        <v>71.91555525867949</v>
      </c>
      <c r="X42" s="172"/>
      <c r="Y42" s="172">
        <f>W25*Y$59*$D13*5</f>
        <v>56.727084722571675</v>
      </c>
      <c r="Z42" s="172">
        <f t="shared" si="15"/>
        <v>31.34621243389067</v>
      </c>
      <c r="AA42" s="172">
        <f t="shared" si="15"/>
        <v>13.003137779099397</v>
      </c>
      <c r="AB42" s="172"/>
      <c r="AC42" s="172">
        <f>AA25*AC$59*$D13*5</f>
        <v>8.3075746827462424</v>
      </c>
      <c r="AD42" s="172">
        <f>AC25*AD$59*$D13*5</f>
        <v>7.016744535233709</v>
      </c>
      <c r="AE42" s="172">
        <f>(AD25+AE25)*AE$59*$D13*5</f>
        <v>20.526408554001939</v>
      </c>
      <c r="AF42" s="34"/>
      <c r="AG42" s="34"/>
      <c r="AH42" s="34"/>
      <c r="AI42" s="34"/>
      <c r="AJ42" s="34"/>
      <c r="AK42" s="34"/>
    </row>
    <row r="43" spans="1:37" ht="14.1" hidden="1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</row>
    <row r="44" spans="1:37" ht="14.1" hidden="1" customHeight="1">
      <c r="A44" s="34"/>
      <c r="B44" s="156"/>
      <c r="C44" s="156"/>
      <c r="D44" s="156"/>
      <c r="E44" s="156"/>
      <c r="F44" s="156" t="s">
        <v>521</v>
      </c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56"/>
      <c r="U44" s="156"/>
      <c r="V44" s="156"/>
      <c r="W44" s="156"/>
      <c r="X44" s="156"/>
      <c r="Y44" s="156"/>
      <c r="Z44" s="156"/>
      <c r="AA44" s="156"/>
      <c r="AB44" s="156"/>
      <c r="AC44" s="156"/>
      <c r="AD44" s="156"/>
      <c r="AE44" s="156"/>
      <c r="AF44" s="34"/>
      <c r="AG44" s="34"/>
      <c r="AH44" s="34"/>
      <c r="AI44" s="34"/>
      <c r="AJ44" s="34"/>
      <c r="AK44" s="34"/>
    </row>
    <row r="45" spans="1:37" ht="14.1" hidden="1" customHeight="1">
      <c r="A45" s="34"/>
      <c r="B45" s="170" t="s">
        <v>520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</row>
    <row r="46" spans="1:37" ht="14.1" hidden="1" customHeight="1">
      <c r="A46" s="34"/>
      <c r="B46" s="171" t="s">
        <v>476</v>
      </c>
      <c r="C46" s="34"/>
      <c r="D46" s="34"/>
      <c r="E46" s="34"/>
      <c r="F46" s="172">
        <f>SUM(G46:AE46)</f>
        <v>974.44702363920032</v>
      </c>
      <c r="G46" s="172">
        <f t="shared" ref="G46:H48" si="16">F23*G$60*5</f>
        <v>0</v>
      </c>
      <c r="H46" s="172">
        <f t="shared" si="16"/>
        <v>0</v>
      </c>
      <c r="I46" s="172"/>
      <c r="J46" s="172">
        <f>H23*J$60*5</f>
        <v>0</v>
      </c>
      <c r="K46" s="172">
        <f t="shared" ref="K46:L48" si="17">J23*K$60*5</f>
        <v>0</v>
      </c>
      <c r="L46" s="172">
        <f t="shared" si="17"/>
        <v>102.76743245600002</v>
      </c>
      <c r="M46" s="172"/>
      <c r="N46" s="172">
        <f>L23*N$60*5</f>
        <v>150.47714616640005</v>
      </c>
      <c r="O46" s="172">
        <f t="shared" ref="O46:R48" si="18">N23*O$60*5</f>
        <v>241.55529145840006</v>
      </c>
      <c r="P46" s="172">
        <f t="shared" si="18"/>
        <v>112.98276087040003</v>
      </c>
      <c r="Q46" s="172">
        <f t="shared" si="18"/>
        <v>156.24016511040003</v>
      </c>
      <c r="R46" s="172">
        <f t="shared" si="18"/>
        <v>210.42422757760005</v>
      </c>
      <c r="S46" s="172"/>
      <c r="T46" s="172">
        <f>R23*T$60*5</f>
        <v>0</v>
      </c>
      <c r="U46" s="172">
        <f t="shared" ref="U46:W48" si="19">T23*U$60*5</f>
        <v>0</v>
      </c>
      <c r="V46" s="172">
        <f t="shared" si="19"/>
        <v>0</v>
      </c>
      <c r="W46" s="172">
        <f t="shared" si="19"/>
        <v>0</v>
      </c>
      <c r="X46" s="172"/>
      <c r="Y46" s="172">
        <f>W23*Y$60*5</f>
        <v>0</v>
      </c>
      <c r="Z46" s="172">
        <f t="shared" ref="Z46:AA48" si="20">Y23*Z$60*5</f>
        <v>0</v>
      </c>
      <c r="AA46" s="172">
        <f t="shared" si="20"/>
        <v>0</v>
      </c>
      <c r="AB46" s="172"/>
      <c r="AC46" s="172">
        <f>AA23*AC$60*5</f>
        <v>0</v>
      </c>
      <c r="AD46" s="172">
        <f t="shared" ref="AD46:AE48" si="21">AC23*AD$60*5</f>
        <v>0</v>
      </c>
      <c r="AE46" s="172">
        <f t="shared" si="21"/>
        <v>0</v>
      </c>
      <c r="AF46" s="34"/>
      <c r="AG46" s="34"/>
      <c r="AH46" s="34"/>
      <c r="AI46" s="34"/>
      <c r="AJ46" s="34"/>
      <c r="AK46" s="34"/>
    </row>
    <row r="47" spans="1:37" ht="14.1" hidden="1" customHeight="1">
      <c r="A47" s="34"/>
      <c r="B47" s="171" t="s">
        <v>477</v>
      </c>
      <c r="C47" s="34"/>
      <c r="D47" s="34"/>
      <c r="E47" s="34"/>
      <c r="F47" s="172">
        <f>SUM(G47:AE47)</f>
        <v>680.12237802400023</v>
      </c>
      <c r="G47" s="172">
        <f t="shared" si="16"/>
        <v>0</v>
      </c>
      <c r="H47" s="172">
        <f t="shared" si="16"/>
        <v>0</v>
      </c>
      <c r="I47" s="172"/>
      <c r="J47" s="172">
        <f>H24*J$60*5</f>
        <v>0</v>
      </c>
      <c r="K47" s="172">
        <f t="shared" si="17"/>
        <v>0</v>
      </c>
      <c r="L47" s="172">
        <f t="shared" si="17"/>
        <v>85.23244600000001</v>
      </c>
      <c r="M47" s="172"/>
      <c r="N47" s="172">
        <f>L24*N$60*5</f>
        <v>102.76743245600002</v>
      </c>
      <c r="O47" s="172">
        <f t="shared" si="18"/>
        <v>150.47714616640005</v>
      </c>
      <c r="P47" s="172">
        <f t="shared" si="18"/>
        <v>72.422427420800005</v>
      </c>
      <c r="Q47" s="172">
        <f t="shared" si="18"/>
        <v>112.98276087040003</v>
      </c>
      <c r="R47" s="172">
        <f t="shared" si="18"/>
        <v>156.24016511040003</v>
      </c>
      <c r="S47" s="172"/>
      <c r="T47" s="172">
        <f>R24*T$60*5</f>
        <v>0</v>
      </c>
      <c r="U47" s="172">
        <f t="shared" si="19"/>
        <v>0</v>
      </c>
      <c r="V47" s="172">
        <f t="shared" si="19"/>
        <v>0</v>
      </c>
      <c r="W47" s="172">
        <f t="shared" si="19"/>
        <v>0</v>
      </c>
      <c r="X47" s="172"/>
      <c r="Y47" s="172">
        <f>W24*Y$60*5</f>
        <v>0</v>
      </c>
      <c r="Z47" s="172">
        <f t="shared" si="20"/>
        <v>0</v>
      </c>
      <c r="AA47" s="172">
        <f t="shared" si="20"/>
        <v>0</v>
      </c>
      <c r="AB47" s="172"/>
      <c r="AC47" s="172">
        <f>AA24*AC$60*5</f>
        <v>0</v>
      </c>
      <c r="AD47" s="172">
        <f t="shared" si="21"/>
        <v>0</v>
      </c>
      <c r="AE47" s="172">
        <f t="shared" si="21"/>
        <v>0</v>
      </c>
      <c r="AF47" s="34"/>
      <c r="AG47" s="34"/>
      <c r="AH47" s="34"/>
      <c r="AI47" s="34"/>
      <c r="AJ47" s="34"/>
      <c r="AK47" s="34"/>
    </row>
    <row r="48" spans="1:37" ht="14.1" hidden="1" customHeight="1">
      <c r="A48" s="34"/>
      <c r="B48" s="171" t="s">
        <v>478</v>
      </c>
      <c r="C48" s="34"/>
      <c r="D48" s="34"/>
      <c r="E48" s="34"/>
      <c r="F48" s="172">
        <f>SUM(G48:AE48)</f>
        <v>502.12746306400015</v>
      </c>
      <c r="G48" s="172">
        <f t="shared" si="16"/>
        <v>0</v>
      </c>
      <c r="H48" s="172">
        <f t="shared" si="16"/>
        <v>0</v>
      </c>
      <c r="I48" s="172"/>
      <c r="J48" s="172">
        <f>H25*J$60*5</f>
        <v>0</v>
      </c>
      <c r="K48" s="172">
        <f t="shared" si="17"/>
        <v>0</v>
      </c>
      <c r="L48" s="172">
        <f t="shared" si="17"/>
        <v>83.606762000000003</v>
      </c>
      <c r="M48" s="172"/>
      <c r="N48" s="172">
        <f>L25*N$60*5</f>
        <v>85.23244600000001</v>
      </c>
      <c r="O48" s="172">
        <f t="shared" si="18"/>
        <v>102.76743245600002</v>
      </c>
      <c r="P48" s="172">
        <f t="shared" si="18"/>
        <v>45.115634316800012</v>
      </c>
      <c r="Q48" s="172">
        <f t="shared" si="18"/>
        <v>72.422427420800005</v>
      </c>
      <c r="R48" s="172">
        <f t="shared" si="18"/>
        <v>112.98276087040003</v>
      </c>
      <c r="S48" s="172"/>
      <c r="T48" s="172">
        <f>R25*T$60*5</f>
        <v>0</v>
      </c>
      <c r="U48" s="172">
        <f t="shared" si="19"/>
        <v>0</v>
      </c>
      <c r="V48" s="172">
        <f t="shared" si="19"/>
        <v>0</v>
      </c>
      <c r="W48" s="172">
        <f t="shared" si="19"/>
        <v>0</v>
      </c>
      <c r="X48" s="172"/>
      <c r="Y48" s="172">
        <f>W25*Y$60*5</f>
        <v>0</v>
      </c>
      <c r="Z48" s="172">
        <f t="shared" si="20"/>
        <v>0</v>
      </c>
      <c r="AA48" s="172">
        <f t="shared" si="20"/>
        <v>0</v>
      </c>
      <c r="AB48" s="172"/>
      <c r="AC48" s="172">
        <f>AA25*AC$60*5</f>
        <v>0</v>
      </c>
      <c r="AD48" s="172">
        <f t="shared" si="21"/>
        <v>0</v>
      </c>
      <c r="AE48" s="172">
        <f t="shared" si="21"/>
        <v>0</v>
      </c>
      <c r="AF48" s="34"/>
      <c r="AG48" s="34"/>
      <c r="AH48" s="34"/>
      <c r="AI48" s="34"/>
      <c r="AJ48" s="34"/>
      <c r="AK48" s="34"/>
    </row>
    <row r="49" spans="1:37" ht="14.1" hidden="1" customHeight="1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</row>
    <row r="50" spans="1:37" hidden="1">
      <c r="A50" s="34"/>
      <c r="B50" s="156"/>
      <c r="C50" s="156"/>
      <c r="D50" s="156"/>
      <c r="E50" s="156"/>
      <c r="F50" s="156" t="s">
        <v>522</v>
      </c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156"/>
      <c r="Y50" s="156"/>
      <c r="Z50" s="156"/>
      <c r="AA50" s="156"/>
      <c r="AB50" s="156"/>
      <c r="AC50" s="156"/>
      <c r="AD50" s="156"/>
      <c r="AE50" s="156"/>
      <c r="AF50" s="34"/>
      <c r="AG50" s="34"/>
      <c r="AH50" s="34"/>
      <c r="AI50" s="34"/>
      <c r="AJ50" s="34"/>
      <c r="AK50" s="34"/>
    </row>
    <row r="51" spans="1:37" hidden="1">
      <c r="A51" s="34"/>
      <c r="B51" s="170" t="s">
        <v>520</v>
      </c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</row>
    <row r="52" spans="1:37" hidden="1">
      <c r="A52" s="34"/>
      <c r="B52" s="171" t="s">
        <v>476</v>
      </c>
      <c r="C52" s="34"/>
      <c r="D52" s="34"/>
      <c r="E52" s="34"/>
      <c r="F52" s="172">
        <f>SUM(G52:AE52)</f>
        <v>1056.4830102400001</v>
      </c>
      <c r="G52" s="172">
        <f t="shared" ref="G52:H54" si="22">F23*G$61*5</f>
        <v>0</v>
      </c>
      <c r="H52" s="172">
        <f t="shared" si="22"/>
        <v>0</v>
      </c>
      <c r="I52" s="172"/>
      <c r="J52" s="172">
        <f>H23*J$61*5</f>
        <v>0</v>
      </c>
      <c r="K52" s="172">
        <f t="shared" ref="K52:L54" si="23">J23*K$61*5</f>
        <v>0</v>
      </c>
      <c r="L52" s="172">
        <f t="shared" si="23"/>
        <v>0</v>
      </c>
      <c r="M52" s="172"/>
      <c r="N52" s="172">
        <f>L23*N$61*5</f>
        <v>0</v>
      </c>
      <c r="O52" s="172">
        <f t="shared" ref="O52:R54" si="24">N23*O$61*5</f>
        <v>0</v>
      </c>
      <c r="P52" s="172">
        <f t="shared" si="24"/>
        <v>120.56087288000001</v>
      </c>
      <c r="Q52" s="172">
        <f t="shared" si="24"/>
        <v>166.71968837999998</v>
      </c>
      <c r="R52" s="172">
        <f t="shared" si="24"/>
        <v>224.53804771999998</v>
      </c>
      <c r="S52" s="172"/>
      <c r="T52" s="172">
        <f>R23*T$61*5</f>
        <v>274.62236522000001</v>
      </c>
      <c r="U52" s="172">
        <f t="shared" ref="U52:W54" si="25">T23*U$61*5</f>
        <v>270.04203603999997</v>
      </c>
      <c r="V52" s="172">
        <f t="shared" si="25"/>
        <v>0</v>
      </c>
      <c r="W52" s="172">
        <f t="shared" si="25"/>
        <v>0</v>
      </c>
      <c r="X52" s="172"/>
      <c r="Y52" s="172">
        <f>W23*Y$61*5</f>
        <v>0</v>
      </c>
      <c r="Z52" s="172">
        <f t="shared" ref="Z52:AA54" si="26">Y23*Z$61*5</f>
        <v>0</v>
      </c>
      <c r="AA52" s="172">
        <f t="shared" si="26"/>
        <v>0</v>
      </c>
      <c r="AB52" s="172"/>
      <c r="AC52" s="172">
        <f>AA23*AC$61*5</f>
        <v>0</v>
      </c>
      <c r="AD52" s="172">
        <f t="shared" ref="AD52:AE54" si="27">AC23*AD$61*5</f>
        <v>0</v>
      </c>
      <c r="AE52" s="172">
        <f t="shared" si="27"/>
        <v>0</v>
      </c>
      <c r="AF52" s="34"/>
      <c r="AG52" s="34"/>
      <c r="AH52" s="34"/>
      <c r="AI52" s="34"/>
      <c r="AJ52" s="34"/>
      <c r="AK52" s="34"/>
    </row>
    <row r="53" spans="1:37" hidden="1">
      <c r="A53" s="34"/>
      <c r="B53" s="171" t="s">
        <v>477</v>
      </c>
      <c r="C53" s="34"/>
      <c r="D53" s="34"/>
      <c r="E53" s="34"/>
      <c r="F53" s="172">
        <f>SUM(G53:AE53)</f>
        <v>849.12056138150513</v>
      </c>
      <c r="G53" s="172">
        <f t="shared" si="22"/>
        <v>0</v>
      </c>
      <c r="H53" s="172">
        <f t="shared" si="22"/>
        <v>0</v>
      </c>
      <c r="I53" s="172"/>
      <c r="J53" s="172">
        <f>H24*J$61*5</f>
        <v>0</v>
      </c>
      <c r="K53" s="172">
        <f t="shared" si="23"/>
        <v>0</v>
      </c>
      <c r="L53" s="172">
        <f t="shared" si="23"/>
        <v>0</v>
      </c>
      <c r="M53" s="172"/>
      <c r="N53" s="172">
        <f>L24*N$61*5</f>
        <v>0</v>
      </c>
      <c r="O53" s="172">
        <f t="shared" si="24"/>
        <v>0</v>
      </c>
      <c r="P53" s="172">
        <f t="shared" si="24"/>
        <v>77.280029260000006</v>
      </c>
      <c r="Q53" s="172">
        <f t="shared" si="24"/>
        <v>120.56087288000001</v>
      </c>
      <c r="R53" s="172">
        <f t="shared" si="24"/>
        <v>166.71968837999998</v>
      </c>
      <c r="S53" s="172"/>
      <c r="T53" s="172">
        <f>R24*T$61*5</f>
        <v>217.97030982419</v>
      </c>
      <c r="U53" s="172">
        <f t="shared" si="25"/>
        <v>266.58966103731507</v>
      </c>
      <c r="V53" s="172">
        <f t="shared" si="25"/>
        <v>0</v>
      </c>
      <c r="W53" s="172">
        <f t="shared" si="25"/>
        <v>0</v>
      </c>
      <c r="X53" s="172"/>
      <c r="Y53" s="172">
        <f>W24*Y$61*5</f>
        <v>0</v>
      </c>
      <c r="Z53" s="172">
        <f t="shared" si="26"/>
        <v>0</v>
      </c>
      <c r="AA53" s="172">
        <f t="shared" si="26"/>
        <v>0</v>
      </c>
      <c r="AB53" s="172"/>
      <c r="AC53" s="172">
        <f>AA24*AC$61*5</f>
        <v>0</v>
      </c>
      <c r="AD53" s="172">
        <f t="shared" si="27"/>
        <v>0</v>
      </c>
      <c r="AE53" s="172">
        <f t="shared" si="27"/>
        <v>0</v>
      </c>
      <c r="AF53" s="34"/>
      <c r="AG53" s="34"/>
      <c r="AH53" s="34"/>
      <c r="AI53" s="34"/>
      <c r="AJ53" s="34"/>
      <c r="AK53" s="34"/>
    </row>
    <row r="54" spans="1:37" hidden="1">
      <c r="A54" s="34"/>
      <c r="B54" s="171" t="s">
        <v>478</v>
      </c>
      <c r="C54" s="34"/>
      <c r="D54" s="34"/>
      <c r="E54" s="34"/>
      <c r="F54" s="172">
        <f>SUM(G54:AE54)</f>
        <v>617.97781336345167</v>
      </c>
      <c r="G54" s="172">
        <f t="shared" si="22"/>
        <v>0</v>
      </c>
      <c r="H54" s="172">
        <f t="shared" si="22"/>
        <v>0</v>
      </c>
      <c r="I54" s="172"/>
      <c r="J54" s="172">
        <f>H25*J$61*5</f>
        <v>0</v>
      </c>
      <c r="K54" s="172">
        <f t="shared" si="23"/>
        <v>0</v>
      </c>
      <c r="L54" s="172">
        <f t="shared" si="23"/>
        <v>0</v>
      </c>
      <c r="M54" s="172"/>
      <c r="N54" s="172">
        <f>L25*N$61*5</f>
        <v>0</v>
      </c>
      <c r="O54" s="172">
        <f t="shared" si="24"/>
        <v>0</v>
      </c>
      <c r="P54" s="172">
        <f t="shared" si="24"/>
        <v>48.141682959999997</v>
      </c>
      <c r="Q54" s="172">
        <f t="shared" si="24"/>
        <v>77.280029260000006</v>
      </c>
      <c r="R54" s="172">
        <f t="shared" si="24"/>
        <v>120.56087288000001</v>
      </c>
      <c r="S54" s="172"/>
      <c r="T54" s="172">
        <f>R25*T$61*5</f>
        <v>161.21793866345999</v>
      </c>
      <c r="U54" s="172">
        <f t="shared" si="25"/>
        <v>210.77728959999175</v>
      </c>
      <c r="V54" s="172">
        <f t="shared" si="25"/>
        <v>0</v>
      </c>
      <c r="W54" s="172">
        <f t="shared" si="25"/>
        <v>0</v>
      </c>
      <c r="X54" s="172"/>
      <c r="Y54" s="172">
        <f>W25*Y$61*5</f>
        <v>0</v>
      </c>
      <c r="Z54" s="172">
        <f t="shared" si="26"/>
        <v>0</v>
      </c>
      <c r="AA54" s="172">
        <f t="shared" si="26"/>
        <v>0</v>
      </c>
      <c r="AB54" s="172"/>
      <c r="AC54" s="172">
        <f>AA25*AC$61*5</f>
        <v>0</v>
      </c>
      <c r="AD54" s="172">
        <f t="shared" si="27"/>
        <v>0</v>
      </c>
      <c r="AE54" s="172">
        <f t="shared" si="27"/>
        <v>0</v>
      </c>
      <c r="AF54" s="34"/>
      <c r="AG54" s="34"/>
      <c r="AH54" s="34"/>
      <c r="AI54" s="34"/>
      <c r="AJ54" s="34"/>
      <c r="AK54" s="34"/>
    </row>
    <row r="55" spans="1:37" hidden="1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</row>
    <row r="56" spans="1:37" hidden="1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</row>
    <row r="57" spans="1:37" hidden="1">
      <c r="A57" s="34"/>
      <c r="B57" s="156" t="s">
        <v>523</v>
      </c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56"/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  <c r="AD57" s="156"/>
      <c r="AE57" s="156"/>
      <c r="AF57" s="34"/>
      <c r="AG57" s="34"/>
      <c r="AH57" s="34"/>
      <c r="AI57" s="34"/>
      <c r="AJ57" s="34"/>
      <c r="AK57" s="34"/>
    </row>
    <row r="58" spans="1:37" ht="14.1" hidden="1" customHeight="1">
      <c r="A58" s="34"/>
      <c r="B58" s="256" t="s">
        <v>659</v>
      </c>
      <c r="C58" s="168"/>
      <c r="D58" s="168"/>
      <c r="E58" s="156"/>
      <c r="F58" s="257" t="s">
        <v>372</v>
      </c>
      <c r="G58" s="257" t="s">
        <v>373</v>
      </c>
      <c r="H58" s="257">
        <v>2</v>
      </c>
      <c r="I58" s="257"/>
      <c r="J58" s="257">
        <v>3</v>
      </c>
      <c r="K58" s="257">
        <v>4</v>
      </c>
      <c r="L58" s="257">
        <v>5</v>
      </c>
      <c r="M58" s="257"/>
      <c r="N58" s="257">
        <v>6</v>
      </c>
      <c r="O58" s="257">
        <v>7</v>
      </c>
      <c r="P58" s="257">
        <v>8</v>
      </c>
      <c r="Q58" s="257">
        <v>9</v>
      </c>
      <c r="R58" s="257">
        <v>10</v>
      </c>
      <c r="S58" s="257"/>
      <c r="T58" s="257">
        <v>11</v>
      </c>
      <c r="U58" s="257">
        <v>12</v>
      </c>
      <c r="V58" s="257">
        <v>13</v>
      </c>
      <c r="W58" s="257">
        <v>14</v>
      </c>
      <c r="X58" s="257"/>
      <c r="Y58" s="257">
        <v>15</v>
      </c>
      <c r="Z58" s="257">
        <v>16</v>
      </c>
      <c r="AA58" s="257">
        <v>17</v>
      </c>
      <c r="AB58" s="257"/>
      <c r="AC58" s="257">
        <v>18</v>
      </c>
      <c r="AD58" s="257">
        <v>19</v>
      </c>
      <c r="AE58" s="257" t="s">
        <v>510</v>
      </c>
      <c r="AF58" s="34"/>
      <c r="AG58" s="34"/>
      <c r="AH58" s="34"/>
      <c r="AI58" s="34"/>
      <c r="AJ58" s="34"/>
      <c r="AK58" s="34"/>
    </row>
    <row r="59" spans="1:37" ht="15.95" hidden="1" customHeight="1">
      <c r="A59" s="34"/>
      <c r="B59" s="34" t="s">
        <v>380</v>
      </c>
      <c r="C59" s="34"/>
      <c r="D59" s="34"/>
      <c r="E59" s="34"/>
      <c r="F59" s="34"/>
      <c r="G59" s="173"/>
      <c r="H59" s="173"/>
      <c r="I59" s="173"/>
      <c r="J59" s="173"/>
      <c r="K59" s="173"/>
      <c r="L59" s="173"/>
      <c r="M59" s="173"/>
      <c r="N59" s="173"/>
      <c r="O59" s="173"/>
      <c r="P59" s="173"/>
      <c r="Q59" s="173"/>
      <c r="R59" s="174">
        <v>5.0000000000000001E-3</v>
      </c>
      <c r="S59" s="174"/>
      <c r="T59" s="174">
        <v>5.0000000000000001E-3</v>
      </c>
      <c r="U59" s="174">
        <v>6.6E-3</v>
      </c>
      <c r="V59" s="174">
        <v>8.2000000000000007E-3</v>
      </c>
      <c r="W59" s="174">
        <v>8.2000000000000007E-3</v>
      </c>
      <c r="X59" s="174"/>
      <c r="Y59" s="174">
        <v>8.2000000000000007E-3</v>
      </c>
      <c r="Z59" s="174">
        <v>8.2000000000000007E-3</v>
      </c>
      <c r="AA59" s="174">
        <v>8.2000000000000007E-3</v>
      </c>
      <c r="AB59" s="174"/>
      <c r="AC59" s="174">
        <v>8.2000000000000007E-3</v>
      </c>
      <c r="AD59" s="174">
        <v>8.2000000000000007E-3</v>
      </c>
      <c r="AE59" s="174">
        <v>8.2000000000000007E-3</v>
      </c>
      <c r="AF59" s="34"/>
      <c r="AG59" s="34"/>
      <c r="AH59" s="34"/>
      <c r="AI59" s="34"/>
      <c r="AJ59" s="34"/>
      <c r="AK59" s="34"/>
    </row>
    <row r="60" spans="1:37" ht="15.95" hidden="1" customHeight="1">
      <c r="A60" s="34"/>
      <c r="B60" s="34" t="s">
        <v>524</v>
      </c>
      <c r="C60" s="34"/>
      <c r="D60" s="34"/>
      <c r="E60" s="34"/>
      <c r="F60" s="34"/>
      <c r="G60" s="173"/>
      <c r="H60" s="173"/>
      <c r="I60" s="173"/>
      <c r="J60" s="173"/>
      <c r="K60" s="173"/>
      <c r="L60" s="174">
        <v>0.10940000000000001</v>
      </c>
      <c r="M60" s="174"/>
      <c r="N60" s="174">
        <v>0.10940000000000001</v>
      </c>
      <c r="O60" s="174">
        <v>0.10940000000000001</v>
      </c>
      <c r="P60" s="174">
        <v>3.2800000000000003E-2</v>
      </c>
      <c r="Q60" s="174">
        <v>3.2800000000000003E-2</v>
      </c>
      <c r="R60" s="174">
        <v>3.2800000000000003E-2</v>
      </c>
      <c r="S60" s="174"/>
      <c r="T60" s="174"/>
      <c r="U60" s="174"/>
      <c r="V60" s="173"/>
      <c r="W60" s="173"/>
      <c r="X60" s="173"/>
      <c r="Y60" s="173"/>
      <c r="Z60" s="173"/>
      <c r="AA60" s="173"/>
      <c r="AB60" s="173"/>
      <c r="AC60" s="173"/>
      <c r="AD60" s="173"/>
      <c r="AE60" s="173"/>
      <c r="AF60" s="34"/>
      <c r="AG60" s="34"/>
      <c r="AH60" s="34"/>
      <c r="AI60" s="34"/>
      <c r="AJ60" s="34"/>
      <c r="AK60" s="34"/>
    </row>
    <row r="61" spans="1:37" ht="15.95" hidden="1" customHeight="1">
      <c r="A61" s="34"/>
      <c r="B61" s="156" t="s">
        <v>384</v>
      </c>
      <c r="C61" s="156"/>
      <c r="D61" s="156"/>
      <c r="E61" s="156"/>
      <c r="F61" s="156"/>
      <c r="G61" s="175"/>
      <c r="H61" s="175"/>
      <c r="I61" s="175"/>
      <c r="J61" s="175"/>
      <c r="K61" s="175"/>
      <c r="L61" s="176"/>
      <c r="M61" s="176"/>
      <c r="N61" s="176"/>
      <c r="O61" s="176"/>
      <c r="P61" s="176">
        <v>3.4999999999999996E-2</v>
      </c>
      <c r="Q61" s="176">
        <v>3.4999999999999996E-2</v>
      </c>
      <c r="R61" s="176">
        <v>3.4999999999999996E-2</v>
      </c>
      <c r="S61" s="176"/>
      <c r="T61" s="176">
        <v>3.4999999999999996E-2</v>
      </c>
      <c r="U61" s="176">
        <v>3.4999999999999996E-2</v>
      </c>
      <c r="V61" s="175"/>
      <c r="W61" s="175"/>
      <c r="X61" s="175"/>
      <c r="Y61" s="175"/>
      <c r="Z61" s="175"/>
      <c r="AA61" s="175"/>
      <c r="AB61" s="175"/>
      <c r="AC61" s="175"/>
      <c r="AD61" s="175"/>
      <c r="AE61" s="175"/>
      <c r="AF61" s="34"/>
      <c r="AG61" s="34"/>
      <c r="AH61" s="34"/>
      <c r="AI61" s="34"/>
      <c r="AJ61" s="34"/>
      <c r="AK61" s="34"/>
    </row>
    <row r="62" spans="1:37" ht="15.95" hidden="1" customHeight="1">
      <c r="A62" s="34"/>
      <c r="B62" s="177" t="s">
        <v>525</v>
      </c>
      <c r="C62" s="177"/>
      <c r="D62" s="177"/>
      <c r="E62" s="177"/>
      <c r="F62" s="177"/>
      <c r="G62" s="178">
        <v>67</v>
      </c>
      <c r="H62" s="179">
        <v>7</v>
      </c>
      <c r="I62" s="179"/>
      <c r="J62" s="179"/>
      <c r="K62" s="179"/>
      <c r="L62" s="179">
        <v>6</v>
      </c>
      <c r="M62" s="179"/>
      <c r="N62" s="179">
        <v>6</v>
      </c>
      <c r="O62" s="179">
        <v>6</v>
      </c>
      <c r="P62" s="178">
        <v>6</v>
      </c>
      <c r="Q62" s="178">
        <v>6</v>
      </c>
      <c r="R62" s="178">
        <v>6</v>
      </c>
      <c r="S62" s="178"/>
      <c r="T62" s="178">
        <v>6</v>
      </c>
      <c r="U62" s="178">
        <v>6</v>
      </c>
      <c r="V62" s="180"/>
      <c r="W62" s="180"/>
      <c r="X62" s="180"/>
      <c r="Y62" s="180"/>
      <c r="Z62" s="180"/>
      <c r="AA62" s="180"/>
      <c r="AB62" s="180"/>
      <c r="AC62" s="180"/>
      <c r="AD62" s="180"/>
      <c r="AE62" s="180"/>
      <c r="AF62" s="34"/>
      <c r="AG62" s="34"/>
      <c r="AH62" s="34"/>
      <c r="AI62" s="34"/>
      <c r="AJ62" s="34"/>
      <c r="AK62" s="34"/>
    </row>
    <row r="63" spans="1:37" ht="15.95" hidden="1" customHeight="1">
      <c r="A63" s="34"/>
      <c r="B63" s="156" t="s">
        <v>526</v>
      </c>
      <c r="C63" s="156"/>
      <c r="D63" s="156"/>
      <c r="E63" s="156"/>
      <c r="F63" s="156"/>
      <c r="G63" s="181">
        <v>35</v>
      </c>
      <c r="H63" s="181">
        <v>7</v>
      </c>
      <c r="I63" s="181"/>
      <c r="J63" s="181"/>
      <c r="K63" s="181"/>
      <c r="L63" s="181">
        <v>6</v>
      </c>
      <c r="M63" s="181"/>
      <c r="N63" s="181">
        <v>6</v>
      </c>
      <c r="O63" s="181">
        <v>6</v>
      </c>
      <c r="P63" s="181">
        <v>6</v>
      </c>
      <c r="Q63" s="181">
        <v>6</v>
      </c>
      <c r="R63" s="181">
        <v>6</v>
      </c>
      <c r="S63" s="181"/>
      <c r="T63" s="181">
        <v>6</v>
      </c>
      <c r="U63" s="181">
        <v>6</v>
      </c>
      <c r="V63" s="180"/>
      <c r="W63" s="180"/>
      <c r="X63" s="180"/>
      <c r="Y63" s="180"/>
      <c r="Z63" s="180"/>
      <c r="AA63" s="180"/>
      <c r="AB63" s="180"/>
      <c r="AC63" s="180"/>
      <c r="AD63" s="180"/>
      <c r="AE63" s="180"/>
      <c r="AF63" s="34"/>
      <c r="AG63" s="34"/>
      <c r="AH63" s="34"/>
      <c r="AI63" s="34"/>
      <c r="AJ63" s="34"/>
      <c r="AK63" s="34"/>
    </row>
    <row r="64" spans="1:37" ht="15.95" hidden="1" customHeight="1">
      <c r="A64" s="34"/>
      <c r="B64" s="34" t="s">
        <v>527</v>
      </c>
      <c r="C64" s="34"/>
      <c r="D64" s="34"/>
      <c r="E64" s="34"/>
      <c r="F64" s="173">
        <v>0.18099999999999999</v>
      </c>
      <c r="G64" s="34"/>
      <c r="H64" s="293" t="s">
        <v>348</v>
      </c>
      <c r="I64" s="293"/>
      <c r="J64" s="293"/>
      <c r="K64" s="34"/>
      <c r="L64" s="293" t="s">
        <v>315</v>
      </c>
      <c r="M64" s="293"/>
      <c r="N64" s="293"/>
      <c r="O64" s="293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</row>
    <row r="65" spans="1:37" ht="15.95" hidden="1" customHeight="1">
      <c r="A65" s="34"/>
      <c r="B65" s="156" t="s">
        <v>528</v>
      </c>
      <c r="C65" s="156"/>
      <c r="D65" s="156"/>
      <c r="E65" s="156"/>
      <c r="F65" s="175">
        <v>0.18099999999999999</v>
      </c>
      <c r="G65" s="177"/>
      <c r="H65" s="182" t="s">
        <v>413</v>
      </c>
      <c r="I65" s="182"/>
      <c r="J65" s="182" t="s">
        <v>352</v>
      </c>
      <c r="K65" s="171"/>
      <c r="L65" s="171" t="s">
        <v>316</v>
      </c>
      <c r="M65" s="171"/>
      <c r="N65" s="171" t="s">
        <v>319</v>
      </c>
      <c r="O65" s="171" t="s">
        <v>317</v>
      </c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</row>
    <row r="66" spans="1:37" ht="15.95" hidden="1" customHeight="1">
      <c r="A66" s="34"/>
      <c r="B66" s="177" t="s">
        <v>396</v>
      </c>
      <c r="C66" s="177"/>
      <c r="D66" s="177"/>
      <c r="E66" s="177"/>
      <c r="F66" s="183">
        <v>2.380019118738079E-3</v>
      </c>
      <c r="G66" s="34"/>
      <c r="H66" s="184"/>
      <c r="I66" s="184"/>
      <c r="J66" s="184"/>
      <c r="K66" s="171"/>
      <c r="L66" s="257" t="s">
        <v>662</v>
      </c>
      <c r="M66" s="257"/>
      <c r="N66" s="257" t="s">
        <v>663</v>
      </c>
      <c r="O66" s="257" t="s">
        <v>662</v>
      </c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</row>
    <row r="67" spans="1:37" ht="15.95" hidden="1" customHeight="1">
      <c r="A67" s="34"/>
      <c r="B67" s="156" t="s">
        <v>530</v>
      </c>
      <c r="C67" s="156"/>
      <c r="D67" s="156"/>
      <c r="E67" s="156"/>
      <c r="F67" s="181">
        <v>132</v>
      </c>
      <c r="G67" s="156"/>
      <c r="H67" s="189">
        <v>0.49</v>
      </c>
      <c r="I67" s="185"/>
      <c r="J67" s="185">
        <v>0.19157384736886188</v>
      </c>
      <c r="K67" s="156"/>
      <c r="L67" s="261">
        <v>0.85030091667570851</v>
      </c>
      <c r="M67" s="261"/>
      <c r="N67" s="261">
        <v>0.56999999999999995</v>
      </c>
      <c r="O67" s="261">
        <v>0.85030091667570851</v>
      </c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</row>
    <row r="68" spans="1:37" ht="15.95" hidden="1" customHeight="1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</row>
    <row r="69" spans="1:37" ht="15.95" customHeight="1"/>
    <row r="70" spans="1:37" ht="15.95" customHeight="1"/>
    <row r="71" spans="1:37" ht="15.95" customHeight="1"/>
    <row r="72" spans="1:37" ht="15.95" customHeight="1"/>
    <row r="73" spans="1:37" ht="15.95" customHeight="1"/>
    <row r="74" spans="1:37" ht="15.95" customHeight="1"/>
  </sheetData>
  <mergeCells count="34">
    <mergeCell ref="U7:U8"/>
    <mergeCell ref="V7:V8"/>
    <mergeCell ref="D6:D8"/>
    <mergeCell ref="F6:H6"/>
    <mergeCell ref="J6:L6"/>
    <mergeCell ref="N6:R6"/>
    <mergeCell ref="T6:W6"/>
    <mergeCell ref="P7:P8"/>
    <mergeCell ref="Q7:Q8"/>
    <mergeCell ref="R7:R8"/>
    <mergeCell ref="T7:T8"/>
    <mergeCell ref="W7:W8"/>
    <mergeCell ref="H64:J64"/>
    <mergeCell ref="L64:O64"/>
    <mergeCell ref="AC6:AH6"/>
    <mergeCell ref="AJ6:AK6"/>
    <mergeCell ref="F7:F8"/>
    <mergeCell ref="G7:G8"/>
    <mergeCell ref="H7:H8"/>
    <mergeCell ref="J7:J8"/>
    <mergeCell ref="K7:K8"/>
    <mergeCell ref="L7:L8"/>
    <mergeCell ref="N7:N8"/>
    <mergeCell ref="O7:O8"/>
    <mergeCell ref="Y6:AA6"/>
    <mergeCell ref="AH7:AH8"/>
    <mergeCell ref="AJ7:AJ8"/>
    <mergeCell ref="AK7:AK8"/>
    <mergeCell ref="AC7:AC8"/>
    <mergeCell ref="AD7:AD8"/>
    <mergeCell ref="AE7:AG7"/>
    <mergeCell ref="Y7:Y8"/>
    <mergeCell ref="Z7:Z8"/>
    <mergeCell ref="AA7:AA8"/>
  </mergeCells>
  <phoneticPr fontId="4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99FF"/>
    <pageSetUpPr fitToPage="1"/>
  </sheetPr>
  <dimension ref="A1:AT103"/>
  <sheetViews>
    <sheetView showGridLines="0" workbookViewId="0">
      <selection activeCell="B62" sqref="B62:B66"/>
    </sheetView>
  </sheetViews>
  <sheetFormatPr defaultRowHeight="13.5"/>
  <cols>
    <col min="1" max="1" width="2.625" customWidth="1"/>
    <col min="2" max="2" width="10.625" customWidth="1"/>
    <col min="3" max="3" width="11.125" customWidth="1"/>
    <col min="4" max="15" width="8.125" customWidth="1"/>
    <col min="16" max="16" width="9.125" customWidth="1"/>
    <col min="17" max="17" width="1.625" customWidth="1"/>
    <col min="18" max="18" width="9.625" customWidth="1"/>
  </cols>
  <sheetData>
    <row r="1" spans="1:18">
      <c r="A1" s="1" t="s">
        <v>672</v>
      </c>
    </row>
    <row r="2" spans="1:18" ht="15.95" customHeight="1">
      <c r="B2" s="39" t="s">
        <v>76</v>
      </c>
    </row>
    <row r="3" spans="1:18" ht="15.95" customHeight="1"/>
    <row r="4" spans="1:18" ht="15.9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 t="s">
        <v>41</v>
      </c>
      <c r="Q4" s="2"/>
    </row>
    <row r="5" spans="1:18" ht="30" customHeight="1">
      <c r="B5" s="12" t="s">
        <v>2</v>
      </c>
      <c r="C5" s="13" t="s">
        <v>42</v>
      </c>
      <c r="D5" s="13" t="s">
        <v>43</v>
      </c>
      <c r="E5" s="13" t="s">
        <v>7</v>
      </c>
      <c r="F5" s="13" t="s">
        <v>8</v>
      </c>
      <c r="G5" s="13" t="s">
        <v>9</v>
      </c>
      <c r="H5" s="13" t="s">
        <v>10</v>
      </c>
      <c r="I5" s="13" t="s">
        <v>11</v>
      </c>
      <c r="J5" s="13" t="s">
        <v>12</v>
      </c>
      <c r="K5" s="13" t="s">
        <v>13</v>
      </c>
      <c r="L5" s="13" t="s">
        <v>14</v>
      </c>
      <c r="M5" s="13" t="s">
        <v>15</v>
      </c>
      <c r="N5" s="13" t="s">
        <v>16</v>
      </c>
      <c r="O5" s="13" t="s">
        <v>17</v>
      </c>
      <c r="P5" s="13" t="s">
        <v>18</v>
      </c>
      <c r="R5" s="13"/>
    </row>
    <row r="6" spans="1:18" ht="30" customHeight="1">
      <c r="B6" s="29" t="s">
        <v>44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R6" s="13" t="s">
        <v>20</v>
      </c>
    </row>
    <row r="7" spans="1:18" ht="15.95" customHeight="1">
      <c r="B7" s="8">
        <v>1980</v>
      </c>
      <c r="C7" s="9">
        <f>SUM(D7:P7)</f>
        <v>146322</v>
      </c>
      <c r="D7" s="9">
        <v>713</v>
      </c>
      <c r="E7" s="9">
        <v>2471</v>
      </c>
      <c r="F7" s="9">
        <v>4308</v>
      </c>
      <c r="G7" s="9">
        <v>6905</v>
      </c>
      <c r="H7" s="9">
        <v>9750</v>
      </c>
      <c r="I7" s="9">
        <v>18195</v>
      </c>
      <c r="J7" s="9">
        <v>28415</v>
      </c>
      <c r="K7" s="9">
        <v>28836</v>
      </c>
      <c r="L7" s="9">
        <v>21234</v>
      </c>
      <c r="M7" s="9">
        <v>13076</v>
      </c>
      <c r="N7" s="9">
        <v>7322</v>
      </c>
      <c r="O7" s="9">
        <v>3433</v>
      </c>
      <c r="P7" s="9">
        <v>1664</v>
      </c>
      <c r="R7" s="24">
        <f>SUMPRODUCT(D7:P7,D$82:P$82)/C7</f>
        <v>49.552384467134132</v>
      </c>
    </row>
    <row r="8" spans="1:18" ht="15.95" customHeight="1">
      <c r="B8" s="8">
        <v>1985</v>
      </c>
      <c r="C8" s="9">
        <f t="shared" ref="C8:C14" si="0">SUM(D8:P8)</f>
        <v>126343</v>
      </c>
      <c r="D8" s="9">
        <v>458</v>
      </c>
      <c r="E8" s="9">
        <v>2037</v>
      </c>
      <c r="F8" s="9">
        <v>3284</v>
      </c>
      <c r="G8" s="9">
        <v>4769</v>
      </c>
      <c r="H8" s="9">
        <v>7107</v>
      </c>
      <c r="I8" s="9">
        <v>9697</v>
      </c>
      <c r="J8" s="9">
        <v>17807</v>
      </c>
      <c r="K8" s="9">
        <v>26840</v>
      </c>
      <c r="L8" s="9">
        <v>25840</v>
      </c>
      <c r="M8" s="9">
        <v>15866</v>
      </c>
      <c r="N8" s="9">
        <v>7508</v>
      </c>
      <c r="O8" s="9">
        <v>3479</v>
      </c>
      <c r="P8" s="9">
        <v>1651</v>
      </c>
      <c r="R8" s="24">
        <f t="shared" ref="R8:R14" si="1">SUMPRODUCT(D8:P8,D$82:P$82)/C8</f>
        <v>51.71589245150107</v>
      </c>
    </row>
    <row r="9" spans="1:18" ht="15.95" customHeight="1">
      <c r="B9" s="8">
        <v>1990</v>
      </c>
      <c r="C9" s="9">
        <f t="shared" si="0"/>
        <v>100497</v>
      </c>
      <c r="D9" s="9">
        <v>272</v>
      </c>
      <c r="E9" s="9">
        <v>1115</v>
      </c>
      <c r="F9" s="9">
        <v>2129</v>
      </c>
      <c r="G9" s="9">
        <v>2823</v>
      </c>
      <c r="H9" s="9">
        <v>4707</v>
      </c>
      <c r="I9" s="9">
        <v>7062</v>
      </c>
      <c r="J9" s="9">
        <v>9012</v>
      </c>
      <c r="K9" s="9">
        <v>16600</v>
      </c>
      <c r="L9" s="9">
        <v>24738</v>
      </c>
      <c r="M9" s="9">
        <v>18262</v>
      </c>
      <c r="N9" s="9">
        <v>9235</v>
      </c>
      <c r="O9" s="9">
        <v>3138</v>
      </c>
      <c r="P9" s="9">
        <v>1404</v>
      </c>
      <c r="R9" s="24">
        <f t="shared" si="1"/>
        <v>54.027473456919111</v>
      </c>
    </row>
    <row r="10" spans="1:18" ht="15.95" customHeight="1">
      <c r="B10" s="8">
        <v>1995</v>
      </c>
      <c r="C10" s="9">
        <f t="shared" si="0"/>
        <v>81564</v>
      </c>
      <c r="D10" s="9">
        <v>420</v>
      </c>
      <c r="E10" s="9">
        <v>1321</v>
      </c>
      <c r="F10" s="9">
        <v>1751</v>
      </c>
      <c r="G10" s="9">
        <v>2400</v>
      </c>
      <c r="H10" s="9">
        <v>3186</v>
      </c>
      <c r="I10" s="9">
        <v>4953</v>
      </c>
      <c r="J10" s="9">
        <v>7018</v>
      </c>
      <c r="K10" s="9">
        <v>8646</v>
      </c>
      <c r="L10" s="9">
        <v>15322</v>
      </c>
      <c r="M10" s="9">
        <v>17611</v>
      </c>
      <c r="N10" s="9">
        <v>12234</v>
      </c>
      <c r="O10" s="9">
        <v>4802</v>
      </c>
      <c r="P10" s="9">
        <v>1900</v>
      </c>
      <c r="R10" s="24">
        <f t="shared" si="1"/>
        <v>55.693479966651957</v>
      </c>
    </row>
    <row r="11" spans="1:18" ht="15.95" customHeight="1">
      <c r="B11" s="8">
        <v>2000</v>
      </c>
      <c r="C11" s="9">
        <f t="shared" si="0"/>
        <v>67558</v>
      </c>
      <c r="D11" s="9">
        <v>447</v>
      </c>
      <c r="E11" s="9">
        <v>1742</v>
      </c>
      <c r="F11" s="9">
        <v>2273</v>
      </c>
      <c r="G11" s="9">
        <v>2451</v>
      </c>
      <c r="H11" s="9">
        <v>2800</v>
      </c>
      <c r="I11" s="9">
        <v>3629</v>
      </c>
      <c r="J11" s="9">
        <v>5647</v>
      </c>
      <c r="K11" s="9">
        <v>7702</v>
      </c>
      <c r="L11" s="9">
        <v>9299</v>
      </c>
      <c r="M11" s="9">
        <v>11544</v>
      </c>
      <c r="N11" s="9">
        <v>11894</v>
      </c>
      <c r="O11" s="9">
        <v>5885</v>
      </c>
      <c r="P11" s="9">
        <v>2245</v>
      </c>
      <c r="R11" s="24">
        <f t="shared" si="1"/>
        <v>55.462136238491368</v>
      </c>
    </row>
    <row r="12" spans="1:18" ht="15.95" customHeight="1">
      <c r="B12" s="8">
        <v>2005</v>
      </c>
      <c r="C12" s="9">
        <f t="shared" si="0"/>
        <v>52173</v>
      </c>
      <c r="D12" s="9">
        <v>379</v>
      </c>
      <c r="E12" s="9">
        <v>1582</v>
      </c>
      <c r="F12" s="9">
        <v>2403</v>
      </c>
      <c r="G12" s="9">
        <v>2755</v>
      </c>
      <c r="H12" s="9">
        <v>2836</v>
      </c>
      <c r="I12" s="9">
        <v>3250</v>
      </c>
      <c r="J12" s="9">
        <v>4202</v>
      </c>
      <c r="K12" s="9">
        <v>5739</v>
      </c>
      <c r="L12" s="9">
        <v>7974</v>
      </c>
      <c r="M12" s="9">
        <v>7027</v>
      </c>
      <c r="N12" s="9">
        <v>7224</v>
      </c>
      <c r="O12" s="9">
        <v>4608</v>
      </c>
      <c r="P12" s="9">
        <v>2194</v>
      </c>
      <c r="R12" s="24">
        <f t="shared" si="1"/>
        <v>53.793264715465853</v>
      </c>
    </row>
    <row r="13" spans="1:18" ht="15.95" customHeight="1">
      <c r="B13" s="8">
        <v>2010</v>
      </c>
      <c r="C13" s="9">
        <f t="shared" si="0"/>
        <v>51210</v>
      </c>
      <c r="D13" s="9">
        <v>430</v>
      </c>
      <c r="E13" s="9">
        <v>1820</v>
      </c>
      <c r="F13" s="9">
        <v>3160</v>
      </c>
      <c r="G13" s="9">
        <v>3760</v>
      </c>
      <c r="H13" s="9">
        <v>3650</v>
      </c>
      <c r="I13" s="9">
        <v>3750</v>
      </c>
      <c r="J13" s="9">
        <v>4150</v>
      </c>
      <c r="K13" s="9">
        <v>5340</v>
      </c>
      <c r="L13" s="9">
        <v>6940</v>
      </c>
      <c r="M13" s="9">
        <v>7540</v>
      </c>
      <c r="N13" s="9">
        <v>4680</v>
      </c>
      <c r="O13" s="9">
        <v>3640</v>
      </c>
      <c r="P13" s="9">
        <v>2350</v>
      </c>
      <c r="R13" s="24">
        <f t="shared" si="1"/>
        <v>51.511814098808827</v>
      </c>
    </row>
    <row r="14" spans="1:18" ht="15.95" customHeight="1">
      <c r="B14" s="14">
        <v>2015</v>
      </c>
      <c r="C14" s="19">
        <f t="shared" si="0"/>
        <v>45430</v>
      </c>
      <c r="D14" s="19">
        <v>320</v>
      </c>
      <c r="E14" s="19">
        <v>1530</v>
      </c>
      <c r="F14" s="19">
        <v>2390</v>
      </c>
      <c r="G14" s="19">
        <v>3530</v>
      </c>
      <c r="H14" s="19">
        <v>4020</v>
      </c>
      <c r="I14" s="19">
        <v>4070</v>
      </c>
      <c r="J14" s="19">
        <v>3470</v>
      </c>
      <c r="K14" s="19">
        <v>3780</v>
      </c>
      <c r="L14" s="19">
        <v>4930</v>
      </c>
      <c r="M14" s="19">
        <v>6120</v>
      </c>
      <c r="N14" s="19">
        <v>5430</v>
      </c>
      <c r="O14" s="19">
        <v>3170</v>
      </c>
      <c r="P14" s="19">
        <v>2670</v>
      </c>
      <c r="R14" s="24">
        <f t="shared" si="1"/>
        <v>51.816200748404135</v>
      </c>
    </row>
    <row r="15" spans="1:18" ht="8.1" customHeight="1"/>
    <row r="16" spans="1:18" ht="30" customHeight="1">
      <c r="B16" s="2" t="s">
        <v>45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R16" s="40" t="s">
        <v>46</v>
      </c>
    </row>
    <row r="17" spans="2:18" ht="15.95" customHeight="1">
      <c r="B17" s="14" t="s">
        <v>47</v>
      </c>
      <c r="C17" s="19">
        <f t="shared" ref="C17:C23" si="2">SUM(D17:P17)</f>
        <v>-19979</v>
      </c>
      <c r="D17" s="19">
        <f>D8</f>
        <v>458</v>
      </c>
      <c r="E17" s="19">
        <f>E8-D7</f>
        <v>1324</v>
      </c>
      <c r="F17" s="19">
        <f t="shared" ref="F17:O17" si="3">F8-E7</f>
        <v>813</v>
      </c>
      <c r="G17" s="19">
        <f t="shared" si="3"/>
        <v>461</v>
      </c>
      <c r="H17" s="19">
        <f t="shared" si="3"/>
        <v>202</v>
      </c>
      <c r="I17" s="19">
        <f t="shared" si="3"/>
        <v>-53</v>
      </c>
      <c r="J17" s="19">
        <f t="shared" si="3"/>
        <v>-388</v>
      </c>
      <c r="K17" s="19">
        <f t="shared" si="3"/>
        <v>-1575</v>
      </c>
      <c r="L17" s="19">
        <f t="shared" si="3"/>
        <v>-2996</v>
      </c>
      <c r="M17" s="19">
        <f t="shared" si="3"/>
        <v>-5368</v>
      </c>
      <c r="N17" s="19">
        <f t="shared" si="3"/>
        <v>-5568</v>
      </c>
      <c r="O17" s="19">
        <f t="shared" si="3"/>
        <v>-3843</v>
      </c>
      <c r="P17" s="19">
        <f>P8-O7-P7</f>
        <v>-3446</v>
      </c>
      <c r="R17" s="41">
        <f>SUM(D17:G17)</f>
        <v>3056</v>
      </c>
    </row>
    <row r="18" spans="2:18" ht="15.95" customHeight="1">
      <c r="B18" s="14" t="s">
        <v>48</v>
      </c>
      <c r="C18" s="19">
        <f t="shared" si="2"/>
        <v>-25846</v>
      </c>
      <c r="D18" s="19">
        <f t="shared" ref="D18:D23" si="4">D9</f>
        <v>272</v>
      </c>
      <c r="E18" s="19">
        <f t="shared" ref="E18:O23" si="5">E9-D8</f>
        <v>657</v>
      </c>
      <c r="F18" s="19">
        <f t="shared" si="5"/>
        <v>92</v>
      </c>
      <c r="G18" s="19">
        <f t="shared" si="5"/>
        <v>-461</v>
      </c>
      <c r="H18" s="19">
        <f t="shared" si="5"/>
        <v>-62</v>
      </c>
      <c r="I18" s="19">
        <f t="shared" si="5"/>
        <v>-45</v>
      </c>
      <c r="J18" s="19">
        <f t="shared" si="5"/>
        <v>-685</v>
      </c>
      <c r="K18" s="19">
        <f t="shared" si="5"/>
        <v>-1207</v>
      </c>
      <c r="L18" s="19">
        <f t="shared" si="5"/>
        <v>-2102</v>
      </c>
      <c r="M18" s="19">
        <f t="shared" si="5"/>
        <v>-7578</v>
      </c>
      <c r="N18" s="19">
        <f t="shared" si="5"/>
        <v>-6631</v>
      </c>
      <c r="O18" s="19">
        <f t="shared" si="5"/>
        <v>-4370</v>
      </c>
      <c r="P18" s="19">
        <f t="shared" ref="P18:P23" si="6">P9-O8-P8</f>
        <v>-3726</v>
      </c>
      <c r="R18" s="41">
        <f t="shared" ref="R18:R23" si="7">SUM(D18:G18)</f>
        <v>560</v>
      </c>
    </row>
    <row r="19" spans="2:18" ht="15.95" customHeight="1">
      <c r="B19" s="14" t="s">
        <v>49</v>
      </c>
      <c r="C19" s="19">
        <f t="shared" si="2"/>
        <v>-18933</v>
      </c>
      <c r="D19" s="19">
        <f t="shared" si="4"/>
        <v>420</v>
      </c>
      <c r="E19" s="19">
        <f t="shared" si="5"/>
        <v>1049</v>
      </c>
      <c r="F19" s="19">
        <f t="shared" si="5"/>
        <v>636</v>
      </c>
      <c r="G19" s="19">
        <f t="shared" si="5"/>
        <v>271</v>
      </c>
      <c r="H19" s="19">
        <f t="shared" si="5"/>
        <v>363</v>
      </c>
      <c r="I19" s="19">
        <f t="shared" si="5"/>
        <v>246</v>
      </c>
      <c r="J19" s="19">
        <f t="shared" si="5"/>
        <v>-44</v>
      </c>
      <c r="K19" s="19">
        <f t="shared" si="5"/>
        <v>-366</v>
      </c>
      <c r="L19" s="19">
        <f t="shared" si="5"/>
        <v>-1278</v>
      </c>
      <c r="M19" s="19">
        <f t="shared" si="5"/>
        <v>-7127</v>
      </c>
      <c r="N19" s="19">
        <f t="shared" si="5"/>
        <v>-6028</v>
      </c>
      <c r="O19" s="19">
        <f t="shared" si="5"/>
        <v>-4433</v>
      </c>
      <c r="P19" s="19">
        <f t="shared" si="6"/>
        <v>-2642</v>
      </c>
      <c r="R19" s="41">
        <f t="shared" si="7"/>
        <v>2376</v>
      </c>
    </row>
    <row r="20" spans="2:18" ht="15.95" customHeight="1">
      <c r="B20" s="14" t="s">
        <v>50</v>
      </c>
      <c r="C20" s="19">
        <f t="shared" si="2"/>
        <v>-14006</v>
      </c>
      <c r="D20" s="19">
        <f t="shared" si="4"/>
        <v>447</v>
      </c>
      <c r="E20" s="19">
        <f t="shared" si="5"/>
        <v>1322</v>
      </c>
      <c r="F20" s="19">
        <f t="shared" si="5"/>
        <v>952</v>
      </c>
      <c r="G20" s="19">
        <f t="shared" si="5"/>
        <v>700</v>
      </c>
      <c r="H20" s="19">
        <f t="shared" si="5"/>
        <v>400</v>
      </c>
      <c r="I20" s="19">
        <f t="shared" si="5"/>
        <v>443</v>
      </c>
      <c r="J20" s="19">
        <f t="shared" si="5"/>
        <v>694</v>
      </c>
      <c r="K20" s="19">
        <f t="shared" si="5"/>
        <v>684</v>
      </c>
      <c r="L20" s="19">
        <f t="shared" si="5"/>
        <v>653</v>
      </c>
      <c r="M20" s="19">
        <f t="shared" si="5"/>
        <v>-3778</v>
      </c>
      <c r="N20" s="19">
        <f t="shared" si="5"/>
        <v>-5717</v>
      </c>
      <c r="O20" s="19">
        <f t="shared" si="5"/>
        <v>-6349</v>
      </c>
      <c r="P20" s="19">
        <f t="shared" si="6"/>
        <v>-4457</v>
      </c>
      <c r="R20" s="41">
        <f t="shared" si="7"/>
        <v>3421</v>
      </c>
    </row>
    <row r="21" spans="2:18" ht="15.95" customHeight="1">
      <c r="B21" s="14" t="s">
        <v>51</v>
      </c>
      <c r="C21" s="19">
        <f t="shared" si="2"/>
        <v>-15385</v>
      </c>
      <c r="D21" s="19">
        <f t="shared" si="4"/>
        <v>379</v>
      </c>
      <c r="E21" s="19">
        <f t="shared" si="5"/>
        <v>1135</v>
      </c>
      <c r="F21" s="19">
        <f t="shared" si="5"/>
        <v>661</v>
      </c>
      <c r="G21" s="19">
        <f t="shared" si="5"/>
        <v>482</v>
      </c>
      <c r="H21" s="19">
        <f t="shared" si="5"/>
        <v>385</v>
      </c>
      <c r="I21" s="19">
        <f t="shared" si="5"/>
        <v>450</v>
      </c>
      <c r="J21" s="19">
        <f t="shared" si="5"/>
        <v>573</v>
      </c>
      <c r="K21" s="19">
        <f t="shared" si="5"/>
        <v>92</v>
      </c>
      <c r="L21" s="19">
        <f t="shared" si="5"/>
        <v>272</v>
      </c>
      <c r="M21" s="19">
        <f t="shared" si="5"/>
        <v>-2272</v>
      </c>
      <c r="N21" s="19">
        <f t="shared" si="5"/>
        <v>-4320</v>
      </c>
      <c r="O21" s="19">
        <f t="shared" si="5"/>
        <v>-7286</v>
      </c>
      <c r="P21" s="19">
        <f t="shared" si="6"/>
        <v>-5936</v>
      </c>
      <c r="R21" s="41">
        <f t="shared" si="7"/>
        <v>2657</v>
      </c>
    </row>
    <row r="22" spans="2:18" ht="15.95" customHeight="1">
      <c r="B22" s="14" t="s">
        <v>52</v>
      </c>
      <c r="C22" s="19">
        <f t="shared" si="2"/>
        <v>-963</v>
      </c>
      <c r="D22" s="19">
        <f t="shared" si="4"/>
        <v>430</v>
      </c>
      <c r="E22" s="19">
        <f t="shared" si="5"/>
        <v>1441</v>
      </c>
      <c r="F22" s="19">
        <f t="shared" si="5"/>
        <v>1578</v>
      </c>
      <c r="G22" s="19">
        <f t="shared" si="5"/>
        <v>1357</v>
      </c>
      <c r="H22" s="19">
        <f t="shared" si="5"/>
        <v>895</v>
      </c>
      <c r="I22" s="19">
        <f t="shared" si="5"/>
        <v>914</v>
      </c>
      <c r="J22" s="19">
        <f t="shared" si="5"/>
        <v>900</v>
      </c>
      <c r="K22" s="19">
        <f t="shared" si="5"/>
        <v>1138</v>
      </c>
      <c r="L22" s="19">
        <f t="shared" si="5"/>
        <v>1201</v>
      </c>
      <c r="M22" s="19">
        <f t="shared" si="5"/>
        <v>-434</v>
      </c>
      <c r="N22" s="19">
        <f t="shared" si="5"/>
        <v>-2347</v>
      </c>
      <c r="O22" s="19">
        <f t="shared" si="5"/>
        <v>-3584</v>
      </c>
      <c r="P22" s="19">
        <f t="shared" si="6"/>
        <v>-4452</v>
      </c>
      <c r="R22" s="41">
        <f t="shared" si="7"/>
        <v>4806</v>
      </c>
    </row>
    <row r="23" spans="2:18" ht="15.95" customHeight="1">
      <c r="B23" s="14" t="s">
        <v>53</v>
      </c>
      <c r="C23" s="19">
        <f t="shared" si="2"/>
        <v>-5780</v>
      </c>
      <c r="D23" s="19">
        <f t="shared" si="4"/>
        <v>320</v>
      </c>
      <c r="E23" s="19">
        <f t="shared" si="5"/>
        <v>1100</v>
      </c>
      <c r="F23" s="19">
        <f t="shared" si="5"/>
        <v>570</v>
      </c>
      <c r="G23" s="19">
        <f t="shared" si="5"/>
        <v>370</v>
      </c>
      <c r="H23" s="19">
        <f t="shared" si="5"/>
        <v>260</v>
      </c>
      <c r="I23" s="19">
        <f t="shared" si="5"/>
        <v>420</v>
      </c>
      <c r="J23" s="19">
        <f t="shared" si="5"/>
        <v>-280</v>
      </c>
      <c r="K23" s="19">
        <f t="shared" si="5"/>
        <v>-370</v>
      </c>
      <c r="L23" s="19">
        <f t="shared" si="5"/>
        <v>-410</v>
      </c>
      <c r="M23" s="19">
        <f t="shared" si="5"/>
        <v>-820</v>
      </c>
      <c r="N23" s="19">
        <f t="shared" si="5"/>
        <v>-2110</v>
      </c>
      <c r="O23" s="19">
        <f t="shared" si="5"/>
        <v>-1510</v>
      </c>
      <c r="P23" s="19">
        <f t="shared" si="6"/>
        <v>-3320</v>
      </c>
      <c r="R23" s="41">
        <f t="shared" si="7"/>
        <v>2360</v>
      </c>
    </row>
    <row r="24" spans="2:18" ht="15.95" customHeight="1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</row>
    <row r="25" spans="2:18" ht="15.95" customHeight="1">
      <c r="B25" s="2" t="s">
        <v>54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2:18" ht="15.95" customHeight="1">
      <c r="B26" s="14" t="s">
        <v>55</v>
      </c>
      <c r="C26" s="42">
        <f>C17/C7</f>
        <v>-0.13654132666311286</v>
      </c>
      <c r="D26" s="42"/>
      <c r="E26" s="42">
        <f>E17/D7</f>
        <v>1.8569424964936887</v>
      </c>
      <c r="F26" s="42">
        <f t="shared" ref="F26:O26" si="8">F17/E7</f>
        <v>0.32901659247268311</v>
      </c>
      <c r="G26" s="42">
        <f t="shared" si="8"/>
        <v>0.10701021355617456</v>
      </c>
      <c r="H26" s="42">
        <f t="shared" si="8"/>
        <v>2.9254163649529326E-2</v>
      </c>
      <c r="I26" s="42">
        <f t="shared" si="8"/>
        <v>-5.4358974358974356E-3</v>
      </c>
      <c r="J26" s="42">
        <f t="shared" si="8"/>
        <v>-2.1324539708711183E-2</v>
      </c>
      <c r="K26" s="42">
        <f t="shared" si="8"/>
        <v>-5.5428470878057363E-2</v>
      </c>
      <c r="L26" s="42">
        <f t="shared" si="8"/>
        <v>-0.10389790539603273</v>
      </c>
      <c r="M26" s="42">
        <f t="shared" si="8"/>
        <v>-0.25280210982386736</v>
      </c>
      <c r="N26" s="42">
        <f t="shared" si="8"/>
        <v>-0.4258182930559804</v>
      </c>
      <c r="O26" s="42">
        <f t="shared" si="8"/>
        <v>-0.5248565965583174</v>
      </c>
      <c r="P26" s="42">
        <f>P17/(O7+P7)</f>
        <v>-0.67608397096331174</v>
      </c>
    </row>
    <row r="27" spans="2:18" ht="15.95" customHeight="1">
      <c r="B27" s="14" t="s">
        <v>56</v>
      </c>
      <c r="C27" s="42">
        <f t="shared" ref="C27:C32" si="9">C18/C8</f>
        <v>-0.20457009885787103</v>
      </c>
      <c r="D27" s="42"/>
      <c r="E27" s="42">
        <f t="shared" ref="E27:O32" si="10">E18/D8</f>
        <v>1.4344978165938864</v>
      </c>
      <c r="F27" s="42">
        <f t="shared" si="10"/>
        <v>4.5164457535591555E-2</v>
      </c>
      <c r="G27" s="42">
        <f t="shared" si="10"/>
        <v>-0.14037758830694275</v>
      </c>
      <c r="H27" s="42">
        <f t="shared" si="10"/>
        <v>-1.3000629062696582E-2</v>
      </c>
      <c r="I27" s="42">
        <f t="shared" si="10"/>
        <v>-6.3317855635289149E-3</v>
      </c>
      <c r="J27" s="42">
        <f t="shared" si="10"/>
        <v>-7.064040424873673E-2</v>
      </c>
      <c r="K27" s="42">
        <f t="shared" si="10"/>
        <v>-6.7782332790475658E-2</v>
      </c>
      <c r="L27" s="42">
        <f t="shared" si="10"/>
        <v>-7.8315946348733234E-2</v>
      </c>
      <c r="M27" s="42">
        <f t="shared" si="10"/>
        <v>-0.29326625386996902</v>
      </c>
      <c r="N27" s="42">
        <f t="shared" si="10"/>
        <v>-0.41793772847598637</v>
      </c>
      <c r="O27" s="42">
        <f t="shared" si="10"/>
        <v>-0.58204581779435272</v>
      </c>
      <c r="P27" s="42">
        <f t="shared" ref="P27:P32" si="11">P18/(O8+P8)</f>
        <v>-0.72631578947368425</v>
      </c>
    </row>
    <row r="28" spans="2:18" ht="15.95" customHeight="1">
      <c r="B28" s="14" t="s">
        <v>57</v>
      </c>
      <c r="C28" s="42">
        <f t="shared" si="9"/>
        <v>-0.18839368339353413</v>
      </c>
      <c r="D28" s="42"/>
      <c r="E28" s="42">
        <f t="shared" si="10"/>
        <v>3.8566176470588234</v>
      </c>
      <c r="F28" s="42">
        <f t="shared" si="10"/>
        <v>0.57040358744394615</v>
      </c>
      <c r="G28" s="42">
        <f t="shared" si="10"/>
        <v>0.12728980742132456</v>
      </c>
      <c r="H28" s="42">
        <f t="shared" si="10"/>
        <v>0.12858660998937302</v>
      </c>
      <c r="I28" s="42">
        <f t="shared" si="10"/>
        <v>5.2262587635436585E-2</v>
      </c>
      <c r="J28" s="42">
        <f t="shared" si="10"/>
        <v>-6.2305295950155761E-3</v>
      </c>
      <c r="K28" s="42">
        <f t="shared" si="10"/>
        <v>-4.0612516644474038E-2</v>
      </c>
      <c r="L28" s="42">
        <f t="shared" si="10"/>
        <v>-7.6987951807228922E-2</v>
      </c>
      <c r="M28" s="42">
        <f t="shared" si="10"/>
        <v>-0.28809928045921257</v>
      </c>
      <c r="N28" s="42">
        <f t="shared" si="10"/>
        <v>-0.33008432811302157</v>
      </c>
      <c r="O28" s="42">
        <f t="shared" si="10"/>
        <v>-0.48002165674066055</v>
      </c>
      <c r="P28" s="42">
        <f t="shared" si="11"/>
        <v>-0.58168207837956842</v>
      </c>
    </row>
    <row r="29" spans="2:18" ht="15.95" customHeight="1">
      <c r="B29" s="14" t="s">
        <v>58</v>
      </c>
      <c r="C29" s="42">
        <f t="shared" si="9"/>
        <v>-0.17171791476631848</v>
      </c>
      <c r="D29" s="42"/>
      <c r="E29" s="42">
        <f t="shared" si="10"/>
        <v>3.1476190476190475</v>
      </c>
      <c r="F29" s="42">
        <f t="shared" si="10"/>
        <v>0.72066616199848599</v>
      </c>
      <c r="G29" s="42">
        <f t="shared" si="10"/>
        <v>0.39977155910908052</v>
      </c>
      <c r="H29" s="42">
        <f t="shared" si="10"/>
        <v>0.16666666666666666</v>
      </c>
      <c r="I29" s="42">
        <f t="shared" si="10"/>
        <v>0.13904582548650346</v>
      </c>
      <c r="J29" s="42">
        <f t="shared" si="10"/>
        <v>0.14011710074702199</v>
      </c>
      <c r="K29" s="42">
        <f t="shared" si="10"/>
        <v>9.7463664861783983E-2</v>
      </c>
      <c r="L29" s="42">
        <f t="shared" si="10"/>
        <v>7.5526254915567886E-2</v>
      </c>
      <c r="M29" s="42">
        <f t="shared" si="10"/>
        <v>-0.24657355436627071</v>
      </c>
      <c r="N29" s="42">
        <f t="shared" si="10"/>
        <v>-0.32462665379592298</v>
      </c>
      <c r="O29" s="42">
        <f t="shared" si="10"/>
        <v>-0.51896354422102342</v>
      </c>
      <c r="P29" s="42">
        <f t="shared" si="11"/>
        <v>-0.66502536556251868</v>
      </c>
    </row>
    <row r="30" spans="2:18" ht="15.95" customHeight="1">
      <c r="B30" s="14" t="s">
        <v>59</v>
      </c>
      <c r="C30" s="42">
        <f t="shared" si="9"/>
        <v>-0.22773024660291896</v>
      </c>
      <c r="D30" s="42"/>
      <c r="E30" s="42">
        <f t="shared" si="10"/>
        <v>2.5391498881431769</v>
      </c>
      <c r="F30" s="42">
        <f t="shared" si="10"/>
        <v>0.37944890929965558</v>
      </c>
      <c r="G30" s="42">
        <f t="shared" si="10"/>
        <v>0.21205455345358556</v>
      </c>
      <c r="H30" s="42">
        <f t="shared" si="10"/>
        <v>0.15707874337005304</v>
      </c>
      <c r="I30" s="42">
        <f t="shared" si="10"/>
        <v>0.16071428571428573</v>
      </c>
      <c r="J30" s="42">
        <f t="shared" si="10"/>
        <v>0.15789473684210525</v>
      </c>
      <c r="K30" s="42">
        <f t="shared" si="10"/>
        <v>1.6291836373295555E-2</v>
      </c>
      <c r="L30" s="42">
        <f t="shared" si="10"/>
        <v>3.5315502466891718E-2</v>
      </c>
      <c r="M30" s="42">
        <f t="shared" si="10"/>
        <v>-0.244327347026562</v>
      </c>
      <c r="N30" s="42">
        <f t="shared" si="10"/>
        <v>-0.37422037422037424</v>
      </c>
      <c r="O30" s="42">
        <f t="shared" si="10"/>
        <v>-0.61257777030435512</v>
      </c>
      <c r="P30" s="42">
        <f t="shared" si="11"/>
        <v>-0.73013530135301352</v>
      </c>
    </row>
    <row r="31" spans="2:18" ht="15.95" customHeight="1">
      <c r="B31" s="14" t="s">
        <v>60</v>
      </c>
      <c r="C31" s="42">
        <f t="shared" si="9"/>
        <v>-1.845782301190271E-2</v>
      </c>
      <c r="D31" s="42"/>
      <c r="E31" s="42">
        <f t="shared" si="10"/>
        <v>3.8021108179419527</v>
      </c>
      <c r="F31" s="42">
        <f t="shared" si="10"/>
        <v>0.9974715549936789</v>
      </c>
      <c r="G31" s="42">
        <f t="shared" si="10"/>
        <v>0.56471077819392423</v>
      </c>
      <c r="H31" s="42">
        <f t="shared" si="10"/>
        <v>0.32486388384754988</v>
      </c>
      <c r="I31" s="42">
        <f t="shared" si="10"/>
        <v>0.32228490832157969</v>
      </c>
      <c r="J31" s="42">
        <f t="shared" si="10"/>
        <v>0.27692307692307694</v>
      </c>
      <c r="K31" s="42">
        <f t="shared" si="10"/>
        <v>0.27082341742027605</v>
      </c>
      <c r="L31" s="42">
        <f t="shared" si="10"/>
        <v>0.20926990764941628</v>
      </c>
      <c r="M31" s="42">
        <f t="shared" si="10"/>
        <v>-5.4426887383997993E-2</v>
      </c>
      <c r="N31" s="42">
        <f t="shared" si="10"/>
        <v>-0.33399743845168633</v>
      </c>
      <c r="O31" s="42">
        <f t="shared" si="10"/>
        <v>-0.49612403100775193</v>
      </c>
      <c r="P31" s="42">
        <f t="shared" si="11"/>
        <v>-0.6545133784181123</v>
      </c>
    </row>
    <row r="32" spans="2:18" ht="15.95" customHeight="1">
      <c r="B32" s="14" t="s">
        <v>53</v>
      </c>
      <c r="C32" s="42">
        <f t="shared" si="9"/>
        <v>-0.11286858035539933</v>
      </c>
      <c r="D32" s="42"/>
      <c r="E32" s="42">
        <f t="shared" si="10"/>
        <v>2.558139534883721</v>
      </c>
      <c r="F32" s="42">
        <f t="shared" si="10"/>
        <v>0.31318681318681318</v>
      </c>
      <c r="G32" s="42">
        <f t="shared" si="10"/>
        <v>0.11708860759493671</v>
      </c>
      <c r="H32" s="42">
        <f t="shared" si="10"/>
        <v>6.9148936170212769E-2</v>
      </c>
      <c r="I32" s="42">
        <f t="shared" si="10"/>
        <v>0.11506849315068493</v>
      </c>
      <c r="J32" s="42">
        <f t="shared" si="10"/>
        <v>-7.4666666666666673E-2</v>
      </c>
      <c r="K32" s="42">
        <f t="shared" si="10"/>
        <v>-8.91566265060241E-2</v>
      </c>
      <c r="L32" s="42">
        <f t="shared" si="10"/>
        <v>-7.6779026217228458E-2</v>
      </c>
      <c r="M32" s="42">
        <f t="shared" si="10"/>
        <v>-0.11815561959654179</v>
      </c>
      <c r="N32" s="42">
        <f t="shared" si="10"/>
        <v>-0.27984084880636606</v>
      </c>
      <c r="O32" s="42">
        <f t="shared" si="10"/>
        <v>-0.32264957264957267</v>
      </c>
      <c r="P32" s="42">
        <f t="shared" si="11"/>
        <v>-0.55425709515859767</v>
      </c>
    </row>
    <row r="33" spans="2:16" ht="15.95" customHeight="1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</row>
    <row r="34" spans="2:16" ht="15.95" customHeight="1">
      <c r="B34" s="2" t="s">
        <v>61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2:16" ht="15.95" customHeight="1">
      <c r="B35" s="14" t="s">
        <v>47</v>
      </c>
      <c r="C35" s="19">
        <f t="shared" ref="C35:P36" si="12">(C26+1)/(C$27+1)*100</f>
        <v>108.55245347164823</v>
      </c>
      <c r="D35" s="19"/>
      <c r="E35" s="19">
        <f t="shared" si="12"/>
        <v>117.35243617884392</v>
      </c>
      <c r="F35" s="19">
        <f t="shared" si="12"/>
        <v>127.1586096226799</v>
      </c>
      <c r="G35" s="19">
        <f t="shared" si="12"/>
        <v>128.7786589202436</v>
      </c>
      <c r="H35" s="19">
        <f t="shared" si="12"/>
        <v>104.28113674197166</v>
      </c>
      <c r="I35" s="19">
        <f t="shared" si="12"/>
        <v>100.09015968455219</v>
      </c>
      <c r="J35" s="19">
        <f t="shared" si="12"/>
        <v>105.30643518025553</v>
      </c>
      <c r="K35" s="19">
        <f t="shared" si="12"/>
        <v>101.325212163099</v>
      </c>
      <c r="L35" s="19">
        <f t="shared" si="12"/>
        <v>97.224432933828453</v>
      </c>
      <c r="M35" s="19">
        <f t="shared" si="12"/>
        <v>105.72551463230353</v>
      </c>
      <c r="N35" s="19">
        <f t="shared" si="12"/>
        <v>98.646095965065683</v>
      </c>
      <c r="O35" s="19">
        <f t="shared" si="12"/>
        <v>113.6831317093739</v>
      </c>
      <c r="P35" s="19">
        <f t="shared" si="12"/>
        <v>118.35393368648226</v>
      </c>
    </row>
    <row r="36" spans="2:16" ht="15.95" customHeight="1">
      <c r="B36" s="14" t="s">
        <v>56</v>
      </c>
      <c r="C36" s="19">
        <f>(C27+1)/(C$27+1)*100</f>
        <v>100</v>
      </c>
      <c r="D36" s="19"/>
      <c r="E36" s="19">
        <f t="shared" si="12"/>
        <v>100</v>
      </c>
      <c r="F36" s="19">
        <f t="shared" si="12"/>
        <v>100</v>
      </c>
      <c r="G36" s="19">
        <f t="shared" si="12"/>
        <v>100</v>
      </c>
      <c r="H36" s="19">
        <f t="shared" si="12"/>
        <v>100</v>
      </c>
      <c r="I36" s="19">
        <f t="shared" si="12"/>
        <v>100</v>
      </c>
      <c r="J36" s="19">
        <f t="shared" si="12"/>
        <v>100</v>
      </c>
      <c r="K36" s="19">
        <f t="shared" si="12"/>
        <v>100</v>
      </c>
      <c r="L36" s="19">
        <f t="shared" si="12"/>
        <v>100</v>
      </c>
      <c r="M36" s="19">
        <f t="shared" si="12"/>
        <v>100</v>
      </c>
      <c r="N36" s="19">
        <f t="shared" si="12"/>
        <v>100</v>
      </c>
      <c r="O36" s="19">
        <f t="shared" si="12"/>
        <v>100</v>
      </c>
      <c r="P36" s="19">
        <f t="shared" si="12"/>
        <v>100</v>
      </c>
    </row>
    <row r="37" spans="2:16" ht="15.95" customHeight="1">
      <c r="B37" s="14" t="s">
        <v>57</v>
      </c>
      <c r="C37" s="19">
        <f t="shared" ref="C37:P41" si="13">(C28+1)/(C$27+1)*100</f>
        <v>102.03366952148892</v>
      </c>
      <c r="D37" s="19"/>
      <c r="E37" s="19">
        <f t="shared" si="13"/>
        <v>199.49155895542074</v>
      </c>
      <c r="F37" s="19">
        <f t="shared" si="13"/>
        <v>150.25420890668474</v>
      </c>
      <c r="G37" s="19">
        <f t="shared" si="13"/>
        <v>131.1377870198948</v>
      </c>
      <c r="H37" s="19">
        <f t="shared" si="13"/>
        <v>114.34522079964565</v>
      </c>
      <c r="I37" s="19">
        <f t="shared" si="13"/>
        <v>105.89677443111083</v>
      </c>
      <c r="J37" s="19">
        <f t="shared" si="13"/>
        <v>106.93056540742492</v>
      </c>
      <c r="K37" s="19">
        <f t="shared" si="13"/>
        <v>102.91453563922801</v>
      </c>
      <c r="L37" s="19">
        <f t="shared" si="13"/>
        <v>100.14408348894</v>
      </c>
      <c r="M37" s="19">
        <f t="shared" si="13"/>
        <v>100.73110608330931</v>
      </c>
      <c r="N37" s="19">
        <f t="shared" si="13"/>
        <v>115.09347103582893</v>
      </c>
      <c r="O37" s="19">
        <f t="shared" si="13"/>
        <v>124.41036970016319</v>
      </c>
      <c r="P37" s="19">
        <f t="shared" si="13"/>
        <v>152.84693289977309</v>
      </c>
    </row>
    <row r="38" spans="2:16" ht="15.95" customHeight="1">
      <c r="B38" s="14" t="s">
        <v>62</v>
      </c>
      <c r="C38" s="19">
        <f t="shared" si="13"/>
        <v>104.13011681411288</v>
      </c>
      <c r="D38" s="19"/>
      <c r="E38" s="19">
        <f t="shared" si="13"/>
        <v>170.36856715780482</v>
      </c>
      <c r="F38" s="19">
        <f t="shared" si="13"/>
        <v>164.63114006533189</v>
      </c>
      <c r="G38" s="19">
        <f t="shared" si="13"/>
        <v>162.83562876777259</v>
      </c>
      <c r="H38" s="19">
        <f t="shared" si="13"/>
        <v>118.20338502938887</v>
      </c>
      <c r="I38" s="19">
        <f t="shared" si="13"/>
        <v>114.63039764560436</v>
      </c>
      <c r="J38" s="19">
        <f t="shared" si="13"/>
        <v>122.67771333714903</v>
      </c>
      <c r="K38" s="19">
        <f t="shared" si="13"/>
        <v>117.72611735056498</v>
      </c>
      <c r="L38" s="19">
        <f t="shared" si="13"/>
        <v>116.69142486027101</v>
      </c>
      <c r="M38" s="19">
        <f t="shared" si="13"/>
        <v>106.6068303317028</v>
      </c>
      <c r="N38" s="19">
        <f t="shared" si="13"/>
        <v>116.03111543989048</v>
      </c>
      <c r="O38" s="19">
        <f t="shared" si="13"/>
        <v>115.09310739287943</v>
      </c>
      <c r="P38" s="19">
        <f t="shared" si="13"/>
        <v>122.39457796754127</v>
      </c>
    </row>
    <row r="39" spans="2:16" ht="15.95" customHeight="1">
      <c r="B39" s="14" t="s">
        <v>59</v>
      </c>
      <c r="C39" s="19">
        <f t="shared" si="13"/>
        <v>97.088348362087828</v>
      </c>
      <c r="D39" s="19"/>
      <c r="E39" s="19">
        <f t="shared" si="13"/>
        <v>145.3749460779888</v>
      </c>
      <c r="F39" s="19">
        <f t="shared" si="13"/>
        <v>131.98390926460303</v>
      </c>
      <c r="G39" s="19">
        <f t="shared" si="13"/>
        <v>140.99848223668349</v>
      </c>
      <c r="H39" s="19">
        <f t="shared" si="13"/>
        <v>117.23196361019296</v>
      </c>
      <c r="I39" s="19">
        <f t="shared" si="13"/>
        <v>116.81105109843428</v>
      </c>
      <c r="J39" s="19">
        <f t="shared" si="13"/>
        <v>124.59060434041163</v>
      </c>
      <c r="K39" s="19">
        <f t="shared" si="13"/>
        <v>109.01872729095948</v>
      </c>
      <c r="L39" s="19">
        <f t="shared" si="13"/>
        <v>112.32867687853252</v>
      </c>
      <c r="M39" s="19">
        <f t="shared" si="13"/>
        <v>106.92465969134616</v>
      </c>
      <c r="N39" s="19">
        <f t="shared" si="13"/>
        <v>107.51076927579363</v>
      </c>
      <c r="O39" s="19">
        <f t="shared" si="13"/>
        <v>92.694904415388848</v>
      </c>
      <c r="P39" s="19">
        <f t="shared" si="13"/>
        <v>98.604409121014299</v>
      </c>
    </row>
    <row r="40" spans="2:16" ht="15.95" customHeight="1">
      <c r="B40" s="14" t="s">
        <v>60</v>
      </c>
      <c r="C40" s="19">
        <f t="shared" si="13"/>
        <v>123.39769671453593</v>
      </c>
      <c r="D40" s="19"/>
      <c r="E40" s="19">
        <f t="shared" si="13"/>
        <v>197.25262373250357</v>
      </c>
      <c r="F40" s="19">
        <f t="shared" si="13"/>
        <v>191.11552642189403</v>
      </c>
      <c r="G40" s="19">
        <f t="shared" si="13"/>
        <v>182.02303207895312</v>
      </c>
      <c r="H40" s="19">
        <f t="shared" si="13"/>
        <v>134.2314820919687</v>
      </c>
      <c r="I40" s="19">
        <f t="shared" si="13"/>
        <v>133.07106830135186</v>
      </c>
      <c r="J40" s="19">
        <f t="shared" si="13"/>
        <v>137.39816996141897</v>
      </c>
      <c r="K40" s="19">
        <f t="shared" si="13"/>
        <v>136.32260598796901</v>
      </c>
      <c r="L40" s="19">
        <f t="shared" si="13"/>
        <v>131.20221651431132</v>
      </c>
      <c r="M40" s="19">
        <f t="shared" si="13"/>
        <v>133.79481562806643</v>
      </c>
      <c r="N40" s="19">
        <f t="shared" si="13"/>
        <v>114.42118723904218</v>
      </c>
      <c r="O40" s="19">
        <f t="shared" si="13"/>
        <v>120.55770475442316</v>
      </c>
      <c r="P40" s="19">
        <f t="shared" si="13"/>
        <v>126.23549634722822</v>
      </c>
    </row>
    <row r="41" spans="2:16" ht="15.95" customHeight="1">
      <c r="B41" s="14" t="s">
        <v>63</v>
      </c>
      <c r="C41" s="19">
        <f t="shared" si="13"/>
        <v>111.52854806825854</v>
      </c>
      <c r="D41" s="19"/>
      <c r="E41" s="19">
        <f t="shared" si="13"/>
        <v>146.15496923558246</v>
      </c>
      <c r="F41" s="19">
        <f t="shared" si="13"/>
        <v>125.64403656465657</v>
      </c>
      <c r="G41" s="19">
        <f t="shared" si="13"/>
        <v>129.95107996251406</v>
      </c>
      <c r="H41" s="19">
        <f t="shared" si="13"/>
        <v>108.3231628764764</v>
      </c>
      <c r="I41" s="19">
        <f t="shared" si="13"/>
        <v>112.21738573806171</v>
      </c>
      <c r="J41" s="19">
        <f t="shared" si="13"/>
        <v>99.566770232282892</v>
      </c>
      <c r="K41" s="19">
        <f t="shared" si="13"/>
        <v>97.707156336188135</v>
      </c>
      <c r="L41" s="19">
        <f t="shared" si="13"/>
        <v>100.16675129893116</v>
      </c>
      <c r="M41" s="19">
        <f t="shared" si="13"/>
        <v>124.77745476741519</v>
      </c>
      <c r="N41" s="19">
        <f t="shared" si="13"/>
        <v>123.72544767556251</v>
      </c>
      <c r="O41" s="19">
        <f t="shared" si="13"/>
        <v>162.06332085873197</v>
      </c>
      <c r="P41" s="19">
        <f t="shared" si="13"/>
        <v>162.86759984589702</v>
      </c>
    </row>
    <row r="42" spans="2:16" ht="15.95" customHeight="1">
      <c r="B42" s="16"/>
      <c r="C42" s="43"/>
      <c r="D42" s="43"/>
      <c r="E42" s="43"/>
      <c r="F42" s="43"/>
      <c r="G42" s="43"/>
      <c r="H42" s="43"/>
      <c r="I42" s="43"/>
      <c r="J42" s="16"/>
      <c r="K42" s="16"/>
      <c r="L42" s="16"/>
      <c r="M42" s="16"/>
      <c r="N42" s="16"/>
      <c r="O42" s="16"/>
      <c r="P42" s="16"/>
    </row>
    <row r="43" spans="2:16" ht="15.95" customHeight="1">
      <c r="B43" s="2" t="s">
        <v>64</v>
      </c>
      <c r="C43" s="44"/>
      <c r="D43" s="44"/>
      <c r="E43" s="44"/>
      <c r="F43" s="44"/>
      <c r="G43" s="44"/>
      <c r="H43" s="44"/>
      <c r="I43" s="44"/>
      <c r="J43" s="44"/>
      <c r="K43" s="2"/>
      <c r="L43" s="2"/>
      <c r="M43" s="2"/>
      <c r="N43" s="2"/>
      <c r="O43" s="2"/>
      <c r="P43" s="2"/>
    </row>
    <row r="44" spans="2:16" ht="15.95" customHeight="1">
      <c r="B44" s="8">
        <v>1980</v>
      </c>
      <c r="C44" s="45">
        <f>C7/C71</f>
        <v>1.6342155061390984E-3</v>
      </c>
      <c r="D44" s="45">
        <f t="shared" ref="D44:P44" si="14">D7/D71</f>
        <v>8.6139293146343229E-5</v>
      </c>
      <c r="E44" s="45">
        <f t="shared" si="14"/>
        <v>3.1494521449629693E-4</v>
      </c>
      <c r="F44" s="45">
        <f t="shared" si="14"/>
        <v>4.7618678101190117E-4</v>
      </c>
      <c r="G44" s="45">
        <f t="shared" si="14"/>
        <v>6.4063895914839744E-4</v>
      </c>
      <c r="H44" s="45">
        <f t="shared" si="14"/>
        <v>1.058954559176121E-3</v>
      </c>
      <c r="I44" s="45">
        <f t="shared" si="14"/>
        <v>2.1809784545015914E-3</v>
      </c>
      <c r="J44" s="45">
        <f t="shared" si="14"/>
        <v>3.510051804939639E-3</v>
      </c>
      <c r="K44" s="45">
        <f t="shared" si="14"/>
        <v>4.0025462199536994E-3</v>
      </c>
      <c r="L44" s="45">
        <f t="shared" si="14"/>
        <v>3.780357408174733E-3</v>
      </c>
      <c r="M44" s="45">
        <f t="shared" si="14"/>
        <v>2.9266082116475847E-3</v>
      </c>
      <c r="N44" s="45">
        <f t="shared" si="14"/>
        <v>1.8456809822131274E-3</v>
      </c>
      <c r="O44" s="45">
        <f t="shared" si="14"/>
        <v>1.1349431886944913E-3</v>
      </c>
      <c r="P44" s="45">
        <f t="shared" si="14"/>
        <v>4.5440514031559661E-4</v>
      </c>
    </row>
    <row r="45" spans="2:16" ht="15.95" customHeight="1">
      <c r="B45" s="8">
        <v>1985</v>
      </c>
      <c r="C45" s="45">
        <f t="shared" ref="C45:P51" si="15">C8/C72</f>
        <v>1.3298309887186121E-3</v>
      </c>
      <c r="D45" s="45">
        <f t="shared" si="15"/>
        <v>5.0985107541862365E-5</v>
      </c>
      <c r="E45" s="45">
        <f t="shared" si="15"/>
        <v>2.4831300828743563E-4</v>
      </c>
      <c r="F45" s="45">
        <f t="shared" si="15"/>
        <v>4.1962285749666778E-4</v>
      </c>
      <c r="G45" s="45">
        <f t="shared" si="15"/>
        <v>5.2653557935886553E-4</v>
      </c>
      <c r="H45" s="45">
        <f t="shared" si="15"/>
        <v>6.6162631685723762E-4</v>
      </c>
      <c r="I45" s="45">
        <f t="shared" si="15"/>
        <v>1.0611643857466506E-3</v>
      </c>
      <c r="J45" s="45">
        <f t="shared" si="15"/>
        <v>2.1611936365033614E-3</v>
      </c>
      <c r="K45" s="45">
        <f t="shared" si="15"/>
        <v>3.3821823654618787E-3</v>
      </c>
      <c r="L45" s="45">
        <f t="shared" si="15"/>
        <v>3.6903021433626697E-3</v>
      </c>
      <c r="M45" s="45">
        <f t="shared" si="15"/>
        <v>2.9341354624813883E-3</v>
      </c>
      <c r="N45" s="45">
        <f t="shared" si="15"/>
        <v>1.7898129270305892E-3</v>
      </c>
      <c r="O45" s="45">
        <f t="shared" si="15"/>
        <v>9.7598210290113165E-4</v>
      </c>
      <c r="P45" s="45">
        <f t="shared" si="15"/>
        <v>3.5029748894852512E-4</v>
      </c>
    </row>
    <row r="46" spans="2:16" ht="15.95" customHeight="1">
      <c r="B46" s="8">
        <v>1990</v>
      </c>
      <c r="C46" s="45">
        <f t="shared" si="15"/>
        <v>9.9437589049493694E-4</v>
      </c>
      <c r="D46" s="45">
        <f t="shared" si="15"/>
        <v>2.7108974694372998E-5</v>
      </c>
      <c r="E46" s="45">
        <f t="shared" si="15"/>
        <v>1.2636828378295576E-4</v>
      </c>
      <c r="F46" s="45">
        <f t="shared" si="15"/>
        <v>2.6309683356621143E-4</v>
      </c>
      <c r="G46" s="45">
        <f t="shared" si="15"/>
        <v>3.6153834456278012E-4</v>
      </c>
      <c r="H46" s="45">
        <f t="shared" si="15"/>
        <v>5.2140019240957199E-4</v>
      </c>
      <c r="I46" s="45">
        <f t="shared" si="15"/>
        <v>6.6083348983136914E-4</v>
      </c>
      <c r="J46" s="45">
        <f t="shared" si="15"/>
        <v>9.9669490407799715E-4</v>
      </c>
      <c r="K46" s="45">
        <f t="shared" si="15"/>
        <v>2.0469068664092679E-3</v>
      </c>
      <c r="L46" s="45">
        <f t="shared" si="15"/>
        <v>3.1939216430291462E-3</v>
      </c>
      <c r="M46" s="45">
        <f t="shared" si="15"/>
        <v>2.7003331416873147E-3</v>
      </c>
      <c r="N46" s="45">
        <f t="shared" si="15"/>
        <v>1.8047380587424772E-3</v>
      </c>
      <c r="O46" s="45">
        <f t="shared" si="15"/>
        <v>8.1982638083702842E-4</v>
      </c>
      <c r="P46" s="45">
        <f t="shared" si="15"/>
        <v>2.3441812825598444E-4</v>
      </c>
    </row>
    <row r="47" spans="2:16" ht="15.95" customHeight="1">
      <c r="B47" s="8">
        <v>1995</v>
      </c>
      <c r="C47" s="45">
        <f t="shared" si="15"/>
        <v>7.7285754788794102E-4</v>
      </c>
      <c r="D47" s="45">
        <f t="shared" si="15"/>
        <v>4.9025939270213709E-5</v>
      </c>
      <c r="E47" s="45">
        <f t="shared" si="15"/>
        <v>1.3336250930994089E-4</v>
      </c>
      <c r="F47" s="45">
        <f t="shared" si="15"/>
        <v>1.9903796057800109E-4</v>
      </c>
      <c r="G47" s="45">
        <f t="shared" si="15"/>
        <v>2.950236896900587E-4</v>
      </c>
      <c r="H47" s="45">
        <f t="shared" si="15"/>
        <v>4.0687637436487669E-4</v>
      </c>
      <c r="I47" s="45">
        <f t="shared" si="15"/>
        <v>5.4938866727478051E-4</v>
      </c>
      <c r="J47" s="45">
        <f t="shared" si="15"/>
        <v>6.6024094905818478E-4</v>
      </c>
      <c r="K47" s="45">
        <f t="shared" si="15"/>
        <v>9.6806336926278801E-4</v>
      </c>
      <c r="L47" s="45">
        <f t="shared" si="15"/>
        <v>1.9244429808662302E-3</v>
      </c>
      <c r="M47" s="45">
        <f t="shared" si="15"/>
        <v>2.3534949488386602E-3</v>
      </c>
      <c r="N47" s="45">
        <f t="shared" si="15"/>
        <v>1.910739616211005E-3</v>
      </c>
      <c r="O47" s="45">
        <f t="shared" si="15"/>
        <v>1.0216870646664862E-3</v>
      </c>
      <c r="P47" s="45">
        <f t="shared" si="15"/>
        <v>2.6473225004420474E-4</v>
      </c>
    </row>
    <row r="48" spans="2:16" ht="15.95" customHeight="1">
      <c r="B48" s="8">
        <v>2000</v>
      </c>
      <c r="C48" s="45">
        <f t="shared" si="15"/>
        <v>6.2311370317421418E-4</v>
      </c>
      <c r="D48" s="45">
        <f t="shared" si="15"/>
        <v>5.95867034522761E-5</v>
      </c>
      <c r="E48" s="45">
        <f t="shared" si="15"/>
        <v>2.0648000504293681E-4</v>
      </c>
      <c r="F48" s="45">
        <f t="shared" si="15"/>
        <v>2.3175028571587107E-4</v>
      </c>
      <c r="G48" s="45">
        <f t="shared" si="15"/>
        <v>2.7876211606700795E-4</v>
      </c>
      <c r="H48" s="45">
        <f t="shared" si="15"/>
        <v>3.4442445015437788E-4</v>
      </c>
      <c r="I48" s="45">
        <f t="shared" si="15"/>
        <v>4.6440556330545608E-4</v>
      </c>
      <c r="J48" s="45">
        <f t="shared" si="15"/>
        <v>6.3221468581203398E-4</v>
      </c>
      <c r="K48" s="45">
        <f t="shared" si="15"/>
        <v>7.3627064062422307E-4</v>
      </c>
      <c r="L48" s="45">
        <f t="shared" si="15"/>
        <v>1.0627515553732494E-3</v>
      </c>
      <c r="M48" s="45">
        <f t="shared" si="15"/>
        <v>1.4895890599935554E-3</v>
      </c>
      <c r="N48" s="45">
        <f t="shared" si="15"/>
        <v>1.6707970538728065E-3</v>
      </c>
      <c r="O48" s="45">
        <f t="shared" si="15"/>
        <v>9.9556426681941747E-4</v>
      </c>
      <c r="P48" s="45">
        <f t="shared" si="15"/>
        <v>2.4903297342026843E-4</v>
      </c>
    </row>
    <row r="49" spans="2:16" ht="15.95" customHeight="1">
      <c r="B49" s="8">
        <v>2005</v>
      </c>
      <c r="C49" s="45">
        <f t="shared" si="15"/>
        <v>4.7352357466230011E-4</v>
      </c>
      <c r="D49" s="45">
        <f t="shared" si="15"/>
        <v>5.7482853473571319E-5</v>
      </c>
      <c r="E49" s="45">
        <f t="shared" si="15"/>
        <v>2.1440809872952046E-4</v>
      </c>
      <c r="F49" s="45">
        <f t="shared" si="15"/>
        <v>2.8912007146425771E-4</v>
      </c>
      <c r="G49" s="45">
        <f t="shared" si="15"/>
        <v>2.813572266883321E-4</v>
      </c>
      <c r="H49" s="45">
        <f t="shared" si="15"/>
        <v>3.2341627229395397E-4</v>
      </c>
      <c r="I49" s="45">
        <f t="shared" si="15"/>
        <v>4.006797050720998E-4</v>
      </c>
      <c r="J49" s="45">
        <f t="shared" si="15"/>
        <v>5.4183435305671889E-4</v>
      </c>
      <c r="K49" s="45">
        <f t="shared" si="15"/>
        <v>6.4995568343395517E-4</v>
      </c>
      <c r="L49" s="45">
        <f t="shared" si="15"/>
        <v>7.7462409183300053E-4</v>
      </c>
      <c r="M49" s="45">
        <f t="shared" si="15"/>
        <v>8.1928333574059296E-4</v>
      </c>
      <c r="N49" s="45">
        <f t="shared" si="15"/>
        <v>9.6826396768398754E-4</v>
      </c>
      <c r="O49" s="45">
        <f t="shared" si="15"/>
        <v>6.9161676356085749E-4</v>
      </c>
      <c r="P49" s="45">
        <f t="shared" si="15"/>
        <v>1.8839308543530266E-4</v>
      </c>
    </row>
    <row r="50" spans="2:16" ht="15.95" customHeight="1">
      <c r="B50" s="8">
        <v>2010</v>
      </c>
      <c r="C50" s="45">
        <f t="shared" si="15"/>
        <v>4.6083322876064873E-4</v>
      </c>
      <c r="D50" s="45">
        <f t="shared" si="15"/>
        <v>7.0377069674071397E-5</v>
      </c>
      <c r="E50" s="45">
        <f t="shared" si="15"/>
        <v>2.8104590888366435E-4</v>
      </c>
      <c r="F50" s="45">
        <f t="shared" si="15"/>
        <v>4.2994706707818558E-4</v>
      </c>
      <c r="G50" s="45">
        <f t="shared" si="15"/>
        <v>4.473214364446366E-4</v>
      </c>
      <c r="H50" s="45">
        <f t="shared" si="15"/>
        <v>3.7012466629254051E-4</v>
      </c>
      <c r="I50" s="45">
        <f t="shared" si="15"/>
        <v>4.2569939812857289E-4</v>
      </c>
      <c r="J50" s="45">
        <f t="shared" si="15"/>
        <v>5.126723818897718E-4</v>
      </c>
      <c r="K50" s="45">
        <f t="shared" si="15"/>
        <v>6.9321522531250797E-4</v>
      </c>
      <c r="L50" s="45">
        <f t="shared" si="15"/>
        <v>7.9493244777236187E-4</v>
      </c>
      <c r="M50" s="45">
        <f t="shared" si="15"/>
        <v>7.4547401808125252E-4</v>
      </c>
      <c r="N50" s="45">
        <f t="shared" si="15"/>
        <v>5.6567815598264543E-4</v>
      </c>
      <c r="O50" s="45">
        <f t="shared" si="15"/>
        <v>5.1875466649729503E-4</v>
      </c>
      <c r="P50" s="45">
        <f t="shared" si="15"/>
        <v>1.6572247803199654E-4</v>
      </c>
    </row>
    <row r="51" spans="2:16" ht="15.95" customHeight="1">
      <c r="B51" s="8">
        <v>2015</v>
      </c>
      <c r="C51" s="45">
        <f t="shared" si="15"/>
        <v>4.0919038910728619E-4</v>
      </c>
      <c r="D51" s="45">
        <f t="shared" si="15"/>
        <v>5.2649682139883848E-5</v>
      </c>
      <c r="E51" s="45">
        <f t="shared" si="15"/>
        <v>2.5342947267565659E-4</v>
      </c>
      <c r="F51" s="45">
        <f t="shared" si="15"/>
        <v>3.6861237023380416E-4</v>
      </c>
      <c r="G51" s="45">
        <f t="shared" si="15"/>
        <v>4.7862857097638665E-4</v>
      </c>
      <c r="H51" s="45">
        <f t="shared" si="15"/>
        <v>4.7786708597035544E-4</v>
      </c>
      <c r="I51" s="45">
        <f t="shared" si="15"/>
        <v>4.1341509130372639E-4</v>
      </c>
      <c r="J51" s="45">
        <f t="shared" si="15"/>
        <v>3.9598134981562796E-4</v>
      </c>
      <c r="K51" s="45">
        <f t="shared" si="15"/>
        <v>4.712009391934619E-4</v>
      </c>
      <c r="L51" s="45">
        <f t="shared" si="15"/>
        <v>6.4849624166467138E-4</v>
      </c>
      <c r="M51" s="45">
        <f t="shared" si="15"/>
        <v>7.1555173960591333E-4</v>
      </c>
      <c r="N51" s="45">
        <f t="shared" si="15"/>
        <v>5.5661174051274372E-4</v>
      </c>
      <c r="O51" s="45">
        <f t="shared" si="15"/>
        <v>4.0720079211059714E-4</v>
      </c>
      <c r="P51" s="45">
        <f t="shared" si="15"/>
        <v>1.6367966744739397E-4</v>
      </c>
    </row>
    <row r="52" spans="2:16" ht="15.95" customHeight="1">
      <c r="C52" s="46"/>
      <c r="D52" s="46"/>
      <c r="E52" s="46"/>
      <c r="F52" s="46"/>
      <c r="G52" s="46"/>
      <c r="H52" s="46"/>
      <c r="I52" s="46"/>
      <c r="J52" s="46"/>
    </row>
    <row r="53" spans="2:16" ht="15.95" customHeight="1">
      <c r="B53" s="2" t="s">
        <v>65</v>
      </c>
      <c r="C53" s="44"/>
      <c r="D53" s="44"/>
      <c r="E53" s="44"/>
      <c r="F53" s="44"/>
      <c r="G53" s="44"/>
      <c r="H53" s="44"/>
      <c r="I53" s="44"/>
      <c r="J53" s="44"/>
      <c r="K53" s="2"/>
      <c r="L53" s="2"/>
      <c r="M53" s="2"/>
      <c r="N53" s="2"/>
      <c r="O53" s="2"/>
      <c r="P53" s="2"/>
    </row>
    <row r="54" spans="2:16" ht="15.95" customHeight="1">
      <c r="B54" s="14" t="s">
        <v>66</v>
      </c>
      <c r="C54" s="45"/>
      <c r="E54" s="47">
        <f t="shared" ref="E54:P60" si="16">E17/D71</f>
        <v>1.5995571406137227E-4</v>
      </c>
      <c r="F54" s="47">
        <f t="shared" si="16"/>
        <v>1.0362220128914989E-4</v>
      </c>
      <c r="G54" s="47">
        <f t="shared" si="16"/>
        <v>5.0956849128710872E-5</v>
      </c>
      <c r="H54" s="47">
        <f t="shared" si="16"/>
        <v>1.8741356951191352E-5</v>
      </c>
      <c r="I54" s="47">
        <f t="shared" si="16"/>
        <v>-5.7563683729573748E-6</v>
      </c>
      <c r="J54" s="47">
        <f t="shared" si="16"/>
        <v>-4.6508361656862731E-5</v>
      </c>
      <c r="K54" s="47">
        <f t="shared" si="16"/>
        <v>-1.9455680425056946E-4</v>
      </c>
      <c r="L54" s="47">
        <f t="shared" si="16"/>
        <v>-4.1585616850399785E-4</v>
      </c>
      <c r="M54" s="47">
        <f t="shared" si="16"/>
        <v>-9.5568232867485948E-4</v>
      </c>
      <c r="N54" s="47">
        <f t="shared" si="16"/>
        <v>-1.2462033131273899E-3</v>
      </c>
      <c r="O54" s="47">
        <f t="shared" si="16"/>
        <v>-9.6871783865679442E-4</v>
      </c>
      <c r="P54" s="47">
        <f t="shared" si="16"/>
        <v>-1.139240963658962E-3</v>
      </c>
    </row>
    <row r="55" spans="2:16" ht="15.95" customHeight="1">
      <c r="B55" s="14" t="s">
        <v>48</v>
      </c>
      <c r="E55" s="47">
        <f t="shared" si="16"/>
        <v>7.3138025447606062E-5</v>
      </c>
      <c r="F55" s="47">
        <f t="shared" si="16"/>
        <v>1.121492231833288E-5</v>
      </c>
      <c r="G55" s="47">
        <f t="shared" si="16"/>
        <v>-5.8905644733850136E-5</v>
      </c>
      <c r="H55" s="47">
        <f t="shared" si="16"/>
        <v>-6.8452937555566504E-6</v>
      </c>
      <c r="I55" s="47">
        <f t="shared" si="16"/>
        <v>-4.1892759615274646E-6</v>
      </c>
      <c r="J55" s="47">
        <f t="shared" si="16"/>
        <v>-7.4961081183505789E-5</v>
      </c>
      <c r="K55" s="47">
        <f t="shared" si="16"/>
        <v>-1.464907462941291E-4</v>
      </c>
      <c r="L55" s="47">
        <f t="shared" si="16"/>
        <v>-2.6487881267514416E-4</v>
      </c>
      <c r="M55" s="47">
        <f t="shared" si="16"/>
        <v>-1.0822410852322877E-3</v>
      </c>
      <c r="N55" s="47">
        <f t="shared" si="16"/>
        <v>-1.2262859102303092E-3</v>
      </c>
      <c r="O55" s="47">
        <f t="shared" si="16"/>
        <v>-1.0417531288124235E-3</v>
      </c>
      <c r="P55" s="47">
        <f t="shared" si="16"/>
        <v>-1.0452743073899443E-3</v>
      </c>
    </row>
    <row r="56" spans="2:16" ht="15.95" customHeight="1">
      <c r="B56" s="14" t="s">
        <v>49</v>
      </c>
      <c r="E56" s="47">
        <f t="shared" si="16"/>
        <v>1.0454895019998998E-4</v>
      </c>
      <c r="F56" s="47">
        <f t="shared" si="16"/>
        <v>7.2080922408932616E-5</v>
      </c>
      <c r="G56" s="47">
        <f t="shared" si="16"/>
        <v>3.3489545277803329E-5</v>
      </c>
      <c r="H56" s="47">
        <f t="shared" si="16"/>
        <v>4.6488990108497759E-5</v>
      </c>
      <c r="I56" s="47">
        <f t="shared" si="16"/>
        <v>2.7249723248938752E-5</v>
      </c>
      <c r="J56" s="47">
        <f t="shared" si="16"/>
        <v>-4.1173426157717703E-6</v>
      </c>
      <c r="K56" s="47">
        <f t="shared" si="16"/>
        <v>-4.0478288381330108E-5</v>
      </c>
      <c r="L56" s="47">
        <f t="shared" si="16"/>
        <v>-1.5758716718500268E-4</v>
      </c>
      <c r="M56" s="47">
        <f t="shared" si="16"/>
        <v>-9.2016652719980295E-4</v>
      </c>
      <c r="N56" s="47">
        <f t="shared" si="16"/>
        <v>-8.9133765075518191E-4</v>
      </c>
      <c r="O56" s="47">
        <f t="shared" si="16"/>
        <v>-8.6631335294048745E-4</v>
      </c>
      <c r="P56" s="47">
        <f t="shared" si="16"/>
        <v>-6.9024260617317685E-4</v>
      </c>
    </row>
    <row r="57" spans="2:16" ht="15.95" customHeight="1">
      <c r="B57" s="14" t="s">
        <v>58</v>
      </c>
      <c r="E57" s="47">
        <f t="shared" si="16"/>
        <v>1.5431498027433934E-4</v>
      </c>
      <c r="F57" s="47">
        <f t="shared" si="16"/>
        <v>9.6109847738882454E-5</v>
      </c>
      <c r="G57" s="47">
        <f t="shared" si="16"/>
        <v>7.9569715822159207E-5</v>
      </c>
      <c r="H57" s="47">
        <f t="shared" si="16"/>
        <v>4.9170614948343121E-5</v>
      </c>
      <c r="I57" s="47">
        <f t="shared" si="16"/>
        <v>5.6574461344519889E-5</v>
      </c>
      <c r="J57" s="47">
        <f t="shared" si="16"/>
        <v>7.6978747241812569E-5</v>
      </c>
      <c r="K57" s="47">
        <f t="shared" si="16"/>
        <v>6.4349502587033111E-5</v>
      </c>
      <c r="L57" s="47">
        <f t="shared" si="16"/>
        <v>7.3114200801364866E-5</v>
      </c>
      <c r="M57" s="47">
        <f t="shared" si="16"/>
        <v>-4.745167459674075E-4</v>
      </c>
      <c r="N57" s="47">
        <f t="shared" si="16"/>
        <v>-7.6400718996710122E-4</v>
      </c>
      <c r="O57" s="47">
        <f t="shared" si="16"/>
        <v>-9.9160420331238113E-4</v>
      </c>
      <c r="P57" s="47">
        <f t="shared" si="16"/>
        <v>-9.4828389154904809E-4</v>
      </c>
    </row>
    <row r="58" spans="2:16" ht="15.95" customHeight="1">
      <c r="B58" s="14" t="s">
        <v>67</v>
      </c>
      <c r="E58" s="47">
        <f t="shared" si="16"/>
        <v>1.512995714056675E-4</v>
      </c>
      <c r="F58" s="47">
        <f t="shared" si="16"/>
        <v>7.8348612705729756E-5</v>
      </c>
      <c r="G58" s="47">
        <f t="shared" si="16"/>
        <v>4.9143703350219911E-5</v>
      </c>
      <c r="H58" s="47">
        <f t="shared" si="16"/>
        <v>4.3787602890982484E-5</v>
      </c>
      <c r="I58" s="47">
        <f t="shared" si="16"/>
        <v>5.5353929489096446E-5</v>
      </c>
      <c r="J58" s="47">
        <f t="shared" si="16"/>
        <v>7.3327194206124636E-5</v>
      </c>
      <c r="K58" s="47">
        <f t="shared" si="16"/>
        <v>1.0299938214044116E-5</v>
      </c>
      <c r="L58" s="47">
        <f t="shared" si="16"/>
        <v>2.6001767625264694E-5</v>
      </c>
      <c r="M58" s="47">
        <f t="shared" si="16"/>
        <v>-2.596592680726984E-4</v>
      </c>
      <c r="N58" s="47">
        <f t="shared" si="16"/>
        <v>-5.5743457546536383E-4</v>
      </c>
      <c r="O58" s="47">
        <f t="shared" si="16"/>
        <v>-1.0234931338924894E-3</v>
      </c>
      <c r="P58" s="47">
        <f t="shared" si="16"/>
        <v>-1.0041919265658559E-3</v>
      </c>
    </row>
    <row r="59" spans="2:16" ht="15.95" customHeight="1">
      <c r="B59" s="14" t="s">
        <v>52</v>
      </c>
      <c r="E59" s="47">
        <f t="shared" si="16"/>
        <v>2.1855617903803766E-4</v>
      </c>
      <c r="F59" s="47">
        <f t="shared" si="16"/>
        <v>2.1386597964297301E-4</v>
      </c>
      <c r="G59" s="47">
        <f t="shared" si="16"/>
        <v>1.6326922054806395E-4</v>
      </c>
      <c r="H59" s="47">
        <f t="shared" si="16"/>
        <v>9.1402801410547086E-5</v>
      </c>
      <c r="I59" s="47">
        <f t="shared" si="16"/>
        <v>1.04232183665964E-4</v>
      </c>
      <c r="J59" s="47">
        <f t="shared" si="16"/>
        <v>1.1095745678919687E-4</v>
      </c>
      <c r="K59" s="47">
        <f t="shared" si="16"/>
        <v>1.4674143117052502E-4</v>
      </c>
      <c r="L59" s="47">
        <f t="shared" si="16"/>
        <v>1.3601616584843704E-4</v>
      </c>
      <c r="M59" s="47">
        <f t="shared" si="16"/>
        <v>-4.2160378211126435E-5</v>
      </c>
      <c r="N59" s="47">
        <f t="shared" si="16"/>
        <v>-2.7363853550351099E-4</v>
      </c>
      <c r="O59" s="47">
        <f t="shared" si="16"/>
        <v>-4.8037902272693954E-4</v>
      </c>
      <c r="P59" s="47">
        <f t="shared" si="16"/>
        <v>-6.6820265437780759E-4</v>
      </c>
    </row>
    <row r="60" spans="2:16" ht="15.95" customHeight="1">
      <c r="B60" s="5" t="s">
        <v>53</v>
      </c>
      <c r="C60" s="2"/>
      <c r="D60" s="2"/>
      <c r="E60" s="48">
        <f t="shared" si="16"/>
        <v>1.8003436428250822E-4</v>
      </c>
      <c r="F60" s="48">
        <f t="shared" si="16"/>
        <v>8.8019872562466304E-5</v>
      </c>
      <c r="G60" s="48">
        <f t="shared" si="16"/>
        <v>5.0341903423711598E-5</v>
      </c>
      <c r="H60" s="48">
        <f t="shared" si="16"/>
        <v>3.0931801456278058E-5</v>
      </c>
      <c r="I60" s="48">
        <f t="shared" si="16"/>
        <v>4.2589687628182742E-5</v>
      </c>
      <c r="J60" s="48">
        <f t="shared" si="16"/>
        <v>-3.1785555060266773E-5</v>
      </c>
      <c r="K60" s="48">
        <f t="shared" si="16"/>
        <v>-4.5708140072100129E-5</v>
      </c>
      <c r="L60" s="48">
        <f t="shared" si="16"/>
        <v>-5.3224389958450985E-5</v>
      </c>
      <c r="M60" s="48">
        <f t="shared" si="16"/>
        <v>-9.3925735903939016E-5</v>
      </c>
      <c r="N60" s="48">
        <f t="shared" si="16"/>
        <v>-2.0861408198294998E-4</v>
      </c>
      <c r="O60" s="48">
        <f t="shared" si="16"/>
        <v>-1.8251581528499884E-4</v>
      </c>
      <c r="P60" s="48">
        <f t="shared" si="16"/>
        <v>-4.7314986065137896E-4</v>
      </c>
    </row>
    <row r="61" spans="2:16" ht="15.95" customHeight="1">
      <c r="B61" s="8"/>
    </row>
    <row r="62" spans="2:16" ht="15.95" customHeight="1">
      <c r="B62" t="s">
        <v>68</v>
      </c>
    </row>
    <row r="63" spans="2:16" ht="15.95" customHeight="1">
      <c r="B63" t="s">
        <v>69</v>
      </c>
    </row>
    <row r="64" spans="2:16">
      <c r="B64" t="s">
        <v>70</v>
      </c>
    </row>
    <row r="65" spans="1:25">
      <c r="B65" t="s">
        <v>71</v>
      </c>
    </row>
    <row r="66" spans="1:25">
      <c r="B66" t="s">
        <v>72</v>
      </c>
    </row>
    <row r="69" spans="1:25" hidden="1">
      <c r="A69" s="34" t="s">
        <v>73</v>
      </c>
      <c r="B69" s="34"/>
      <c r="C69" s="34"/>
      <c r="D69" s="35"/>
      <c r="E69" s="35"/>
      <c r="F69" s="35"/>
      <c r="G69" s="35"/>
      <c r="H69" s="35"/>
      <c r="I69" s="35"/>
      <c r="J69" s="35"/>
      <c r="K69" s="34"/>
      <c r="L69" s="34"/>
      <c r="M69" s="34"/>
      <c r="N69" s="34"/>
      <c r="O69" s="34"/>
      <c r="P69" s="34"/>
    </row>
    <row r="70" spans="1:25" hidden="1">
      <c r="A70" s="34"/>
      <c r="B70" s="34"/>
      <c r="C70" s="34" t="s">
        <v>32</v>
      </c>
      <c r="D70" s="35"/>
      <c r="E70" s="35"/>
      <c r="F70" s="35"/>
      <c r="G70" s="35"/>
      <c r="H70" s="35"/>
      <c r="I70" s="35"/>
      <c r="J70" s="35"/>
      <c r="K70" s="34"/>
      <c r="L70" s="34"/>
      <c r="M70" s="34"/>
      <c r="N70" s="34"/>
      <c r="O70" s="34"/>
      <c r="P70" s="34"/>
    </row>
    <row r="71" spans="1:25" hidden="1">
      <c r="A71" s="34"/>
      <c r="B71" s="35">
        <v>1980</v>
      </c>
      <c r="C71" s="36">
        <v>89536538.755339414</v>
      </c>
      <c r="D71" s="36">
        <v>8277291.0475208396</v>
      </c>
      <c r="E71" s="36">
        <v>7845809.005073972</v>
      </c>
      <c r="F71" s="36">
        <v>9046870.2025819812</v>
      </c>
      <c r="G71" s="36">
        <v>10778301.727354873</v>
      </c>
      <c r="H71" s="36">
        <v>9207193.9400172327</v>
      </c>
      <c r="I71" s="36">
        <v>8342585.8528978536</v>
      </c>
      <c r="J71" s="36">
        <v>8095322.1146229329</v>
      </c>
      <c r="K71" s="36">
        <v>7204413.99433323</v>
      </c>
      <c r="L71" s="36">
        <v>5616929.2231689794</v>
      </c>
      <c r="M71" s="36">
        <v>4467970.7888329336</v>
      </c>
      <c r="N71" s="36">
        <v>3967099.4448998999</v>
      </c>
      <c r="O71" s="36">
        <v>3024821.0079562929</v>
      </c>
      <c r="P71" s="36">
        <v>3661930.4060783889</v>
      </c>
      <c r="R71" s="23"/>
      <c r="S71" s="23"/>
      <c r="T71" s="23"/>
      <c r="U71" s="23"/>
      <c r="V71" s="23"/>
      <c r="W71" s="23"/>
      <c r="X71" s="23"/>
      <c r="Y71" s="23"/>
    </row>
    <row r="72" spans="1:25" hidden="1">
      <c r="A72" s="34"/>
      <c r="B72" s="35">
        <v>1985</v>
      </c>
      <c r="C72" s="36">
        <v>95006809.941871315</v>
      </c>
      <c r="D72" s="36">
        <v>8983015.2780191693</v>
      </c>
      <c r="E72" s="36">
        <v>8203355.9741745926</v>
      </c>
      <c r="F72" s="36">
        <v>7826075.1084706541</v>
      </c>
      <c r="G72" s="36">
        <v>9057317.6570649948</v>
      </c>
      <c r="H72" s="36">
        <v>10741712.986506721</v>
      </c>
      <c r="I72" s="36">
        <v>9138075.2409788519</v>
      </c>
      <c r="J72" s="36">
        <v>8239428.2951944573</v>
      </c>
      <c r="K72" s="36">
        <v>7935704.5539839379</v>
      </c>
      <c r="L72" s="36">
        <v>7002136.6804546053</v>
      </c>
      <c r="M72" s="36">
        <v>5407384.9700797992</v>
      </c>
      <c r="N72" s="36">
        <v>4194851.811946759</v>
      </c>
      <c r="O72" s="36">
        <v>3564614.5453472803</v>
      </c>
      <c r="P72" s="36">
        <v>4713136.8396494789</v>
      </c>
      <c r="R72" s="23"/>
      <c r="S72" s="23"/>
      <c r="T72" s="23"/>
      <c r="U72" s="23"/>
      <c r="V72" s="23"/>
      <c r="W72" s="23"/>
      <c r="X72" s="23"/>
      <c r="Y72" s="23"/>
    </row>
    <row r="73" spans="1:25" hidden="1">
      <c r="A73" s="34"/>
      <c r="B73" s="35">
        <v>1990</v>
      </c>
      <c r="C73" s="36">
        <v>101065402.8930438</v>
      </c>
      <c r="D73" s="36">
        <v>10033577.553800253</v>
      </c>
      <c r="E73" s="36">
        <v>8823416.4983602352</v>
      </c>
      <c r="F73" s="36">
        <v>8092077.6245838478</v>
      </c>
      <c r="G73" s="36">
        <v>7808300.3987141233</v>
      </c>
      <c r="H73" s="36">
        <v>9027614.6202541906</v>
      </c>
      <c r="I73" s="36">
        <v>10686504.404917605</v>
      </c>
      <c r="J73" s="36">
        <v>9041884.2949103303</v>
      </c>
      <c r="K73" s="36">
        <v>8109797.4081840413</v>
      </c>
      <c r="L73" s="36">
        <v>7745337.1637941124</v>
      </c>
      <c r="M73" s="36">
        <v>6762869.2616011491</v>
      </c>
      <c r="N73" s="36">
        <v>5117086.0808658581</v>
      </c>
      <c r="O73" s="36">
        <v>3827639.6970736133</v>
      </c>
      <c r="P73" s="36">
        <v>5989297.8859844534</v>
      </c>
      <c r="R73" s="23"/>
      <c r="S73" s="23"/>
      <c r="T73" s="23"/>
      <c r="U73" s="23"/>
      <c r="V73" s="23"/>
      <c r="W73" s="23"/>
      <c r="X73" s="23"/>
      <c r="Y73" s="23"/>
    </row>
    <row r="74" spans="1:25" hidden="1">
      <c r="A74" s="34"/>
      <c r="B74" s="35">
        <v>1995</v>
      </c>
      <c r="C74" s="36">
        <v>105535619.36853364</v>
      </c>
      <c r="D74" s="36">
        <v>8566893.4905072991</v>
      </c>
      <c r="E74" s="36">
        <v>9905332.5168764815</v>
      </c>
      <c r="F74" s="36">
        <v>8797316.8279816639</v>
      </c>
      <c r="G74" s="36">
        <v>8134939.9518437106</v>
      </c>
      <c r="H74" s="36">
        <v>7830388.2966251411</v>
      </c>
      <c r="I74" s="36">
        <v>9015475.3729616404</v>
      </c>
      <c r="J74" s="36">
        <v>10629452.792970477</v>
      </c>
      <c r="K74" s="36">
        <v>8931233.506525727</v>
      </c>
      <c r="L74" s="36">
        <v>7961784.3460881663</v>
      </c>
      <c r="M74" s="36">
        <v>7482913.8718526699</v>
      </c>
      <c r="N74" s="36">
        <v>6402756.2396283019</v>
      </c>
      <c r="O74" s="36">
        <v>4700069.2932992531</v>
      </c>
      <c r="P74" s="36">
        <v>7177062.8613731042</v>
      </c>
      <c r="R74" s="23"/>
      <c r="S74" s="23"/>
      <c r="T74" s="23"/>
      <c r="U74" s="23"/>
      <c r="V74" s="23"/>
      <c r="W74" s="23"/>
      <c r="X74" s="23"/>
      <c r="Y74" s="23"/>
    </row>
    <row r="75" spans="1:25" hidden="1">
      <c r="A75" s="34"/>
      <c r="B75" s="35">
        <v>2000</v>
      </c>
      <c r="C75" s="36">
        <v>108420019.74254721</v>
      </c>
      <c r="D75" s="36">
        <v>7501673.596660858</v>
      </c>
      <c r="E75" s="36">
        <v>8436652.2542352565</v>
      </c>
      <c r="F75" s="36">
        <v>9807970.6481429245</v>
      </c>
      <c r="G75" s="36">
        <v>8792442.9423216041</v>
      </c>
      <c r="H75" s="36">
        <v>8129504.15902525</v>
      </c>
      <c r="I75" s="36">
        <v>7814290.5398682263</v>
      </c>
      <c r="J75" s="36">
        <v>8932092.4153269827</v>
      </c>
      <c r="K75" s="36">
        <v>10460827.276054509</v>
      </c>
      <c r="L75" s="36">
        <v>8749928.3844699673</v>
      </c>
      <c r="M75" s="36">
        <v>7749788.3879799331</v>
      </c>
      <c r="N75" s="36">
        <v>7118758.0636621471</v>
      </c>
      <c r="O75" s="36">
        <v>5911220.5973413698</v>
      </c>
      <c r="P75" s="36">
        <v>9014870.4774581585</v>
      </c>
      <c r="R75" s="23"/>
      <c r="S75" s="23"/>
      <c r="T75" s="23"/>
      <c r="U75" s="23"/>
      <c r="V75" s="23"/>
      <c r="W75" s="23"/>
      <c r="X75" s="23"/>
      <c r="Y75" s="23"/>
    </row>
    <row r="76" spans="1:25" hidden="1">
      <c r="A76" s="34"/>
      <c r="B76" s="35">
        <v>2005</v>
      </c>
      <c r="C76" s="36">
        <v>110180364.38250808</v>
      </c>
      <c r="D76" s="36">
        <v>6593270.4641089439</v>
      </c>
      <c r="E76" s="36">
        <v>7378452.630167298</v>
      </c>
      <c r="F76" s="36">
        <v>8311425.726446216</v>
      </c>
      <c r="G76" s="36">
        <v>9791822.4188774675</v>
      </c>
      <c r="H76" s="36">
        <v>8768884.6942814048</v>
      </c>
      <c r="I76" s="36">
        <v>8111216.9118103515</v>
      </c>
      <c r="J76" s="36">
        <v>7755137.6657731719</v>
      </c>
      <c r="K76" s="36">
        <v>8829832.7813347988</v>
      </c>
      <c r="L76" s="36">
        <v>10294025.300879871</v>
      </c>
      <c r="M76" s="36">
        <v>8577008.3357644863</v>
      </c>
      <c r="N76" s="36">
        <v>7460775.4094983507</v>
      </c>
      <c r="O76" s="36">
        <v>6662649.3786461381</v>
      </c>
      <c r="P76" s="36">
        <v>11645862.664919602</v>
      </c>
      <c r="R76" s="23"/>
      <c r="S76" s="23"/>
      <c r="T76" s="23"/>
      <c r="U76" s="23"/>
      <c r="V76" s="23"/>
      <c r="W76" s="23"/>
      <c r="X76" s="23"/>
      <c r="Y76" s="23"/>
    </row>
    <row r="77" spans="1:25" hidden="1">
      <c r="A77" s="34"/>
      <c r="B77" s="35">
        <v>2010</v>
      </c>
      <c r="C77" s="36">
        <v>111124799.17674917</v>
      </c>
      <c r="D77" s="36">
        <v>6109944.645200571</v>
      </c>
      <c r="E77" s="36">
        <v>6475810.330166975</v>
      </c>
      <c r="F77" s="36">
        <v>7349741.9612013688</v>
      </c>
      <c r="G77" s="36">
        <v>8405588.6744103357</v>
      </c>
      <c r="H77" s="36">
        <v>9861542.1570285168</v>
      </c>
      <c r="I77" s="36">
        <v>8809032.8914850783</v>
      </c>
      <c r="J77" s="36">
        <v>8094838.2370483922</v>
      </c>
      <c r="K77" s="36">
        <v>7703235.3084753407</v>
      </c>
      <c r="L77" s="36">
        <v>8730301.5739865098</v>
      </c>
      <c r="M77" s="36">
        <v>10114369.940627739</v>
      </c>
      <c r="N77" s="36">
        <v>8273255.6498850891</v>
      </c>
      <c r="O77" s="36">
        <v>7016804.3491112972</v>
      </c>
      <c r="P77" s="36">
        <v>14180333.458121948</v>
      </c>
      <c r="R77" s="23"/>
      <c r="S77" s="23"/>
      <c r="T77" s="23"/>
      <c r="U77" s="23"/>
      <c r="V77" s="23"/>
      <c r="W77" s="23"/>
      <c r="X77" s="23"/>
      <c r="Y77" s="23"/>
    </row>
    <row r="78" spans="1:25" hidden="1">
      <c r="A78" s="34"/>
      <c r="B78" s="34">
        <v>2015</v>
      </c>
      <c r="C78" s="36">
        <v>111024113.00302717</v>
      </c>
      <c r="D78" s="36">
        <v>6077909.4382716054</v>
      </c>
      <c r="E78" s="36">
        <v>6037182.5890910504</v>
      </c>
      <c r="F78" s="36">
        <v>6483775.8930446804</v>
      </c>
      <c r="G78" s="36">
        <v>7375238.7844271716</v>
      </c>
      <c r="H78" s="36">
        <v>8412381.0114207808</v>
      </c>
      <c r="I78" s="36">
        <v>9844826.8716196101</v>
      </c>
      <c r="J78" s="36">
        <v>8763038.9704355001</v>
      </c>
      <c r="K78" s="36">
        <v>8022055.3177803364</v>
      </c>
      <c r="L78" s="36">
        <v>7602202.8860874046</v>
      </c>
      <c r="M78" s="36">
        <v>8552840.6420625299</v>
      </c>
      <c r="N78" s="36">
        <v>9755453.5860094372</v>
      </c>
      <c r="O78" s="36">
        <v>7784857.1550396616</v>
      </c>
      <c r="P78" s="36">
        <v>16312349.857737388</v>
      </c>
      <c r="R78" s="23"/>
      <c r="S78" s="23"/>
      <c r="T78" s="23"/>
      <c r="U78" s="23"/>
      <c r="V78" s="23"/>
      <c r="W78" s="23"/>
      <c r="X78" s="23"/>
      <c r="Y78" s="23"/>
    </row>
    <row r="79" spans="1:25" hidden="1">
      <c r="A79" s="34"/>
      <c r="B79" s="34" t="s">
        <v>74</v>
      </c>
      <c r="C79" s="34"/>
      <c r="D79" s="35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R79" s="23"/>
      <c r="S79" s="23"/>
      <c r="T79" s="23"/>
      <c r="U79" s="23"/>
      <c r="V79" s="23"/>
      <c r="W79" s="23"/>
      <c r="X79" s="23"/>
      <c r="Y79" s="23"/>
    </row>
    <row r="80" spans="1:25" hidden="1">
      <c r="A80" s="34"/>
      <c r="B80" s="34" t="s">
        <v>75</v>
      </c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R80" s="23"/>
      <c r="S80" s="23"/>
      <c r="T80" s="23"/>
      <c r="U80" s="23"/>
      <c r="V80" s="23"/>
      <c r="W80" s="23"/>
      <c r="X80" s="23"/>
      <c r="Y80" s="23"/>
    </row>
    <row r="81" spans="1:46" hidden="1">
      <c r="A81" s="34"/>
      <c r="B81" s="34"/>
      <c r="C81" s="34"/>
      <c r="D81" s="35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R81" s="23"/>
      <c r="S81" s="23"/>
      <c r="T81" s="23"/>
      <c r="U81" s="23"/>
      <c r="V81" s="23"/>
      <c r="W81" s="23"/>
      <c r="X81" s="23"/>
      <c r="Y81" s="23"/>
    </row>
    <row r="82" spans="1:46" hidden="1">
      <c r="A82" s="34"/>
      <c r="B82" s="34" t="s">
        <v>34</v>
      </c>
      <c r="C82" s="34"/>
      <c r="D82" s="37">
        <v>17</v>
      </c>
      <c r="E82" s="37">
        <v>22</v>
      </c>
      <c r="F82" s="37">
        <v>27</v>
      </c>
      <c r="G82" s="37">
        <v>32</v>
      </c>
      <c r="H82" s="37">
        <v>37</v>
      </c>
      <c r="I82" s="37">
        <v>42</v>
      </c>
      <c r="J82" s="37">
        <v>47</v>
      </c>
      <c r="K82" s="37">
        <v>52</v>
      </c>
      <c r="L82" s="37">
        <v>57</v>
      </c>
      <c r="M82" s="37">
        <v>62</v>
      </c>
      <c r="N82" s="37">
        <v>67</v>
      </c>
      <c r="O82" s="37">
        <v>72</v>
      </c>
      <c r="P82" s="37">
        <v>77</v>
      </c>
      <c r="R82" s="23"/>
      <c r="S82" s="23"/>
      <c r="T82" s="23"/>
      <c r="U82" s="23"/>
      <c r="V82" s="23"/>
      <c r="W82" s="23"/>
      <c r="X82" s="23"/>
      <c r="Y82" s="23"/>
    </row>
    <row r="83" spans="1:46">
      <c r="R83" s="23"/>
      <c r="S83" s="23"/>
      <c r="T83" s="23"/>
      <c r="U83" s="23"/>
      <c r="V83" s="23"/>
      <c r="W83" s="23"/>
      <c r="X83" s="23"/>
      <c r="Y83" s="23"/>
    </row>
    <row r="84" spans="1:46">
      <c r="R84" s="23"/>
      <c r="S84" s="23"/>
      <c r="T84" s="23"/>
      <c r="U84" s="23"/>
      <c r="V84" s="23"/>
      <c r="W84" s="23"/>
      <c r="X84" s="23"/>
      <c r="Y84" s="23"/>
    </row>
    <row r="86" spans="1:46"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</row>
    <row r="87" spans="1:46"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</row>
    <row r="88" spans="1:46"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</row>
    <row r="89" spans="1:46"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</row>
    <row r="90" spans="1:46"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</row>
    <row r="91" spans="1:46"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</row>
    <row r="92" spans="1:46"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</row>
    <row r="93" spans="1:46"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</row>
    <row r="95" spans="1:46"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</row>
    <row r="96" spans="1:46"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</row>
    <row r="97" spans="33:46"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</row>
    <row r="98" spans="33:46"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</row>
    <row r="99" spans="33:46"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</row>
    <row r="100" spans="33:46"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</row>
    <row r="101" spans="33:46"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</row>
    <row r="102" spans="33:46"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</row>
    <row r="103" spans="33:46">
      <c r="AG103" s="23"/>
    </row>
  </sheetData>
  <phoneticPr fontId="4"/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99FF"/>
    <pageSetUpPr fitToPage="1"/>
  </sheetPr>
  <dimension ref="A1:AH114"/>
  <sheetViews>
    <sheetView showGridLines="0" zoomScaleNormal="100" workbookViewId="0">
      <selection activeCell="Z26" sqref="Z26"/>
    </sheetView>
  </sheetViews>
  <sheetFormatPr defaultRowHeight="13.5"/>
  <cols>
    <col min="1" max="1" width="1.625" customWidth="1"/>
    <col min="2" max="2" width="5.625" customWidth="1"/>
    <col min="3" max="3" width="8.625" customWidth="1"/>
    <col min="4" max="16" width="7.625" customWidth="1"/>
    <col min="17" max="17" width="1.625" customWidth="1"/>
    <col min="18" max="18" width="8.125" customWidth="1"/>
    <col min="19" max="19" width="1.625" customWidth="1"/>
    <col min="20" max="20" width="6.625" customWidth="1"/>
    <col min="21" max="21" width="1.625" customWidth="1"/>
    <col min="22" max="22" width="8.625" customWidth="1"/>
  </cols>
  <sheetData>
    <row r="1" spans="1:32">
      <c r="A1" s="1" t="s">
        <v>673</v>
      </c>
    </row>
    <row r="2" spans="1:32">
      <c r="B2" s="39" t="s">
        <v>77</v>
      </c>
    </row>
    <row r="4" spans="1:32" ht="15.9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 t="s">
        <v>0</v>
      </c>
      <c r="Q4" s="2"/>
      <c r="R4" s="2"/>
      <c r="S4" s="2"/>
      <c r="T4" s="2"/>
    </row>
    <row r="5" spans="1:32" ht="44.1" customHeight="1">
      <c r="B5" s="208" t="s">
        <v>2</v>
      </c>
      <c r="C5" s="215" t="s">
        <v>5</v>
      </c>
      <c r="D5" s="215" t="s">
        <v>6</v>
      </c>
      <c r="E5" s="215" t="s">
        <v>7</v>
      </c>
      <c r="F5" s="215" t="s">
        <v>8</v>
      </c>
      <c r="G5" s="215" t="s">
        <v>9</v>
      </c>
      <c r="H5" s="215" t="s">
        <v>10</v>
      </c>
      <c r="I5" s="215" t="s">
        <v>11</v>
      </c>
      <c r="J5" s="215" t="s">
        <v>12</v>
      </c>
      <c r="K5" s="215" t="s">
        <v>13</v>
      </c>
      <c r="L5" s="215" t="s">
        <v>14</v>
      </c>
      <c r="M5" s="215" t="s">
        <v>15</v>
      </c>
      <c r="N5" s="215" t="s">
        <v>16</v>
      </c>
      <c r="O5" s="215" t="s">
        <v>17</v>
      </c>
      <c r="P5" s="215" t="s">
        <v>18</v>
      </c>
      <c r="R5" s="215" t="s">
        <v>19</v>
      </c>
      <c r="T5" s="215" t="s">
        <v>20</v>
      </c>
      <c r="U5" s="8"/>
      <c r="V5" s="270" t="s">
        <v>21</v>
      </c>
    </row>
    <row r="6" spans="1:32" ht="8.1" customHeight="1">
      <c r="B6" s="14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R6" s="209"/>
      <c r="T6" s="209"/>
      <c r="V6" s="271"/>
    </row>
    <row r="7" spans="1:32" ht="15.95" customHeight="1">
      <c r="B7" s="207">
        <v>2015</v>
      </c>
      <c r="C7" s="10">
        <f>SUM(D7:P7)</f>
        <v>45430</v>
      </c>
      <c r="D7" s="10">
        <v>320</v>
      </c>
      <c r="E7" s="10">
        <v>1530</v>
      </c>
      <c r="F7" s="10">
        <v>2390</v>
      </c>
      <c r="G7" s="10">
        <v>3530</v>
      </c>
      <c r="H7" s="10">
        <v>4020</v>
      </c>
      <c r="I7" s="10">
        <v>4070</v>
      </c>
      <c r="J7" s="10">
        <v>3470</v>
      </c>
      <c r="K7" s="10">
        <v>3780</v>
      </c>
      <c r="L7" s="10">
        <v>4930</v>
      </c>
      <c r="M7" s="10">
        <v>6120</v>
      </c>
      <c r="N7" s="10">
        <v>5430</v>
      </c>
      <c r="O7" s="10">
        <v>3170</v>
      </c>
      <c r="P7" s="10">
        <v>2670</v>
      </c>
      <c r="Q7" s="16"/>
      <c r="R7" s="17">
        <f>C7/C82</f>
        <v>4.0919038910728619E-4</v>
      </c>
      <c r="S7" s="16"/>
      <c r="T7" s="18">
        <f>SUMPRODUCT(D7:P7,D$92:P$92)/C7</f>
        <v>51.816200748404135</v>
      </c>
      <c r="V7" s="271"/>
    </row>
    <row r="8" spans="1:32" ht="15.95" customHeight="1">
      <c r="B8" s="14"/>
      <c r="C8" s="19"/>
      <c r="D8" s="19"/>
      <c r="E8" s="19"/>
      <c r="F8" s="20"/>
      <c r="G8" s="19"/>
      <c r="H8" s="19"/>
      <c r="I8" s="19"/>
      <c r="J8" s="19"/>
      <c r="K8" s="19"/>
      <c r="L8" s="19"/>
      <c r="M8" s="19"/>
      <c r="N8" s="19"/>
      <c r="O8" s="19"/>
      <c r="P8" s="19"/>
      <c r="R8" s="21"/>
      <c r="V8" s="271"/>
    </row>
    <row r="9" spans="1:32" ht="15.95" customHeight="1">
      <c r="B9" s="10" t="s">
        <v>610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R9" s="17"/>
      <c r="T9" s="2"/>
      <c r="V9" s="272"/>
    </row>
    <row r="10" spans="1:32" ht="15.95" customHeight="1">
      <c r="B10" s="8">
        <v>2020</v>
      </c>
      <c r="C10" s="9">
        <f>SUM(D10:P10)</f>
        <v>40226.599184953324</v>
      </c>
      <c r="D10" s="9">
        <f>D$83*D$18</f>
        <v>297.23183248247511</v>
      </c>
      <c r="E10" s="9">
        <f>E$83*E$18</f>
        <v>1562.6329501855193</v>
      </c>
      <c r="F10" s="9">
        <f>IF(F$18&lt;0,E$7*(F$18+1),E$7+E$82*F$18)</f>
        <v>2061.3920421281346</v>
      </c>
      <c r="G10" s="9">
        <f t="shared" ref="G10:O10" si="0">IF(G$18&lt;0,F$7*(G$18+1),F$7+F$82*G$18)</f>
        <v>2716.4056198286448</v>
      </c>
      <c r="H10" s="9">
        <f t="shared" si="0"/>
        <v>3758.1294217725426</v>
      </c>
      <c r="I10" s="9">
        <f t="shared" si="0"/>
        <v>4378.280679485667</v>
      </c>
      <c r="J10" s="9">
        <f t="shared" si="0"/>
        <v>3766.1066666666666</v>
      </c>
      <c r="K10" s="9">
        <f t="shared" si="0"/>
        <v>3160.6265060240967</v>
      </c>
      <c r="L10" s="9">
        <f t="shared" si="0"/>
        <v>3489.7752808988766</v>
      </c>
      <c r="M10" s="9">
        <f t="shared" si="0"/>
        <v>4347.4927953890492</v>
      </c>
      <c r="N10" s="9">
        <f t="shared" si="0"/>
        <v>4407.3740053050396</v>
      </c>
      <c r="O10" s="9">
        <f t="shared" si="0"/>
        <v>3678.0128205128208</v>
      </c>
      <c r="P10" s="9">
        <f>IF(P$18&lt;0,(O$7+P$7)*(P$18+1),(O$7+P$7)+(O$82+P$82)*P$18)</f>
        <v>2603.1385642737896</v>
      </c>
      <c r="R10" s="22">
        <f t="shared" ref="R10:R16" si="1">C10/C83</f>
        <v>3.6486749999501881E-4</v>
      </c>
      <c r="S10" s="23"/>
      <c r="T10" s="24">
        <f t="shared" ref="T10:T16" si="2">SUMPRODUCT(D10:P10,D$92:P$92)/C10</f>
        <v>51.590888543267631</v>
      </c>
      <c r="U10" s="23"/>
      <c r="V10" s="25">
        <f>SUM(D10:G10)-SUM(D$7:F$7)</f>
        <v>2397.6624446247733</v>
      </c>
      <c r="W10" s="23"/>
      <c r="X10" s="23"/>
      <c r="Y10" s="23"/>
      <c r="Z10" s="23"/>
      <c r="AA10" s="23"/>
      <c r="AB10" s="23"/>
      <c r="AC10" s="23"/>
      <c r="AD10" s="23"/>
      <c r="AE10" s="23"/>
      <c r="AF10" s="23"/>
    </row>
    <row r="11" spans="1:32" ht="15.95" customHeight="1">
      <c r="B11" s="8">
        <v>2025</v>
      </c>
      <c r="C11" s="9">
        <f t="shared" ref="C11:C16" si="3">SUM(D11:P11)</f>
        <v>35603.20033924844</v>
      </c>
      <c r="D11" s="9">
        <f>D$84*D$18</f>
        <v>281.83732867318378</v>
      </c>
      <c r="E11" s="9">
        <f>E$84*E$18</f>
        <v>1459.8591892724151</v>
      </c>
      <c r="F11" s="9">
        <f>IF(F$18&lt;0,E10*(F$18+1),E10+E$83*F$18)</f>
        <v>2105.3589073723133</v>
      </c>
      <c r="G11" s="9">
        <f t="shared" ref="G11:O11" si="4">IF(G$18&lt;0,F10*(G$18+1),F10+F$83*G$18)</f>
        <v>2372.1842266780563</v>
      </c>
      <c r="H11" s="9">
        <f t="shared" si="4"/>
        <v>2918.6325102753444</v>
      </c>
      <c r="I11" s="9">
        <f t="shared" si="4"/>
        <v>4072.2283680303904</v>
      </c>
      <c r="J11" s="9">
        <f t="shared" si="4"/>
        <v>4051.3690554174041</v>
      </c>
      <c r="K11" s="9">
        <f t="shared" si="4"/>
        <v>3430.3333012048192</v>
      </c>
      <c r="L11" s="9">
        <f t="shared" si="4"/>
        <v>2917.9566806552057</v>
      </c>
      <c r="M11" s="9">
        <f t="shared" si="4"/>
        <v>3077.4387203315741</v>
      </c>
      <c r="N11" s="9">
        <f t="shared" si="4"/>
        <v>3130.8867213478165</v>
      </c>
      <c r="O11" s="9">
        <f t="shared" si="4"/>
        <v>2985.3366659865333</v>
      </c>
      <c r="P11" s="9">
        <f>IF(P$18&lt;0,(O10+P10)*(P$18+1),(O10+P10)+(O$83+P$83)*P$18)</f>
        <v>2799.7786640033805</v>
      </c>
      <c r="R11" s="22">
        <f t="shared" si="1"/>
        <v>3.2822673202421087E-4</v>
      </c>
      <c r="S11" s="23"/>
      <c r="T11" s="24">
        <f t="shared" si="2"/>
        <v>50.97571891523755</v>
      </c>
      <c r="U11" s="23"/>
      <c r="V11" s="25">
        <f t="shared" ref="V11:V16" si="5">SUM(D11:G11)-SUM(D10:F10)</f>
        <v>2297.9828271998394</v>
      </c>
      <c r="W11" s="23"/>
      <c r="X11" s="23"/>
      <c r="Y11" s="23"/>
      <c r="Z11" s="23"/>
      <c r="AA11" s="23"/>
      <c r="AB11" s="23"/>
      <c r="AC11" s="23"/>
      <c r="AD11" s="23"/>
      <c r="AE11" s="23"/>
      <c r="AF11" s="23"/>
    </row>
    <row r="12" spans="1:32" ht="15.95" customHeight="1">
      <c r="B12" s="8">
        <v>2030</v>
      </c>
      <c r="C12" s="9">
        <f t="shared" si="3"/>
        <v>31912.291024808448</v>
      </c>
      <c r="D12" s="9">
        <f>D$85*D$18</f>
        <v>265.22730165232889</v>
      </c>
      <c r="E12" s="9">
        <f>E$85*E$18</f>
        <v>1386.335497807117</v>
      </c>
      <c r="F12" s="9">
        <f>IF(F$18&lt;0,E11*(F$18+1),E11+E$84*F$18)</f>
        <v>1966.8902714992068</v>
      </c>
      <c r="G12" s="9">
        <f t="shared" ref="G12:O12" si="6">IF(G$18&lt;0,F11*(G$18+1),F11+F$84*G$18)</f>
        <v>2419.9673605950766</v>
      </c>
      <c r="H12" s="9">
        <f t="shared" si="6"/>
        <v>2563.3961479671684</v>
      </c>
      <c r="I12" s="9">
        <f t="shared" si="6"/>
        <v>3196.3765584562743</v>
      </c>
      <c r="J12" s="9">
        <f t="shared" si="6"/>
        <v>3768.1686498841214</v>
      </c>
      <c r="K12" s="9">
        <f t="shared" si="6"/>
        <v>3690.1626577054913</v>
      </c>
      <c r="L12" s="9">
        <f t="shared" si="6"/>
        <v>3166.9556507377829</v>
      </c>
      <c r="M12" s="9">
        <f t="shared" si="6"/>
        <v>2573.1837010965214</v>
      </c>
      <c r="N12" s="9">
        <f t="shared" si="6"/>
        <v>2216.2456566844094</v>
      </c>
      <c r="O12" s="9">
        <f t="shared" si="6"/>
        <v>2120.707458690722</v>
      </c>
      <c r="P12" s="9">
        <f>IF(P$18&lt;0,(O11+P11)*(P$18+1),(O11+P11)+(O$84+P$84)*P$18)</f>
        <v>2578.6741120322322</v>
      </c>
      <c r="R12" s="22">
        <f t="shared" si="1"/>
        <v>3.0130600520853222E-4</v>
      </c>
      <c r="S12" s="23"/>
      <c r="T12" s="24">
        <f t="shared" si="2"/>
        <v>50.244912174690434</v>
      </c>
      <c r="U12" s="23"/>
      <c r="V12" s="25">
        <f t="shared" si="5"/>
        <v>2191.365006235817</v>
      </c>
      <c r="W12" s="23"/>
      <c r="X12" s="23"/>
      <c r="Y12" s="23"/>
      <c r="Z12" s="23"/>
      <c r="AA12" s="23"/>
      <c r="AB12" s="23"/>
      <c r="AC12" s="23"/>
      <c r="AD12" s="23"/>
      <c r="AE12" s="23"/>
      <c r="AF12" s="23"/>
    </row>
    <row r="13" spans="1:32" ht="15.95" customHeight="1">
      <c r="B13" s="8">
        <v>2035</v>
      </c>
      <c r="C13" s="9">
        <f t="shared" si="3"/>
        <v>29165.677512313134</v>
      </c>
      <c r="D13" s="9">
        <f>D$86*D$18</f>
        <v>251.56144485673639</v>
      </c>
      <c r="E13" s="9">
        <f>E$86*E$18</f>
        <v>1306.9768461629344</v>
      </c>
      <c r="F13" s="9">
        <f>IF(F$18&lt;0,E12*(F$18+1),E12+E$85*F$18)</f>
        <v>1867.8306947054489</v>
      </c>
      <c r="G13" s="9">
        <f t="shared" ref="G13:O13" si="7">IF(G$18&lt;0,F12*(G$18+1),F12+F$85*G$18)</f>
        <v>2261.1863204514398</v>
      </c>
      <c r="H13" s="9">
        <f t="shared" si="7"/>
        <v>2613.5332847704158</v>
      </c>
      <c r="I13" s="9">
        <f t="shared" si="7"/>
        <v>2826.0733701249392</v>
      </c>
      <c r="J13" s="9">
        <f t="shared" si="7"/>
        <v>2957.7137754248724</v>
      </c>
      <c r="K13" s="9">
        <f t="shared" si="7"/>
        <v>3432.2114449546939</v>
      </c>
      <c r="L13" s="9">
        <f t="shared" si="7"/>
        <v>3406.8355622636841</v>
      </c>
      <c r="M13" s="9">
        <f t="shared" si="7"/>
        <v>2792.7620435900913</v>
      </c>
      <c r="N13" s="9">
        <f t="shared" si="7"/>
        <v>1853.1017900469644</v>
      </c>
      <c r="O13" s="9">
        <f t="shared" si="7"/>
        <v>1501.1749426687134</v>
      </c>
      <c r="P13" s="9">
        <f>IF(P$18&lt;0,(O12+P12)*(P$18+1),(O12+P12)+(O$85+P$85)*P$18)</f>
        <v>2094.7159922922015</v>
      </c>
      <c r="R13" s="22">
        <f t="shared" si="1"/>
        <v>2.8382743782484854E-4</v>
      </c>
      <c r="S13" s="23"/>
      <c r="T13" s="24">
        <f t="shared" si="2"/>
        <v>49.701543953691299</v>
      </c>
      <c r="U13" s="23"/>
      <c r="V13" s="25">
        <f t="shared" si="5"/>
        <v>2069.102235217907</v>
      </c>
      <c r="W13" s="23"/>
      <c r="X13" s="23"/>
      <c r="Y13" s="23"/>
      <c r="Z13" s="23"/>
      <c r="AA13" s="23"/>
      <c r="AB13" s="23"/>
      <c r="AC13" s="23"/>
      <c r="AD13" s="23"/>
      <c r="AE13" s="23"/>
      <c r="AF13" s="23"/>
    </row>
    <row r="14" spans="1:32" ht="15.95" customHeight="1">
      <c r="B14" s="8">
        <v>2040</v>
      </c>
      <c r="C14" s="9">
        <f t="shared" si="3"/>
        <v>27051.275291831342</v>
      </c>
      <c r="D14" s="9">
        <f>D$87*D$18</f>
        <v>229.07023774212797</v>
      </c>
      <c r="E14" s="9">
        <f>E$87*E$18</f>
        <v>1240.5261178505414</v>
      </c>
      <c r="F14" s="9">
        <f>IF(F$18&lt;0,E13*(F$18+1),E13+E$86*F$18)</f>
        <v>1760.9095881869282</v>
      </c>
      <c r="G14" s="9">
        <f t="shared" ref="G14:O14" si="8">IF(G$18&lt;0,F13*(G$18+1),F13+F$86*G$18)</f>
        <v>2147.6071318722152</v>
      </c>
      <c r="H14" s="9">
        <f t="shared" si="8"/>
        <v>2442.354190898875</v>
      </c>
      <c r="I14" s="9">
        <f t="shared" si="8"/>
        <v>2879.4704493883105</v>
      </c>
      <c r="J14" s="9">
        <f t="shared" si="8"/>
        <v>2615.0598918222772</v>
      </c>
      <c r="K14" s="9">
        <f t="shared" si="8"/>
        <v>2694.0139930375949</v>
      </c>
      <c r="L14" s="9">
        <f t="shared" si="8"/>
        <v>3168.6895924394462</v>
      </c>
      <c r="M14" s="9">
        <f t="shared" si="8"/>
        <v>3004.2987955408857</v>
      </c>
      <c r="N14" s="9">
        <f t="shared" si="8"/>
        <v>2011.2331427976387</v>
      </c>
      <c r="O14" s="9">
        <f t="shared" si="8"/>
        <v>1255.1992894121533</v>
      </c>
      <c r="P14" s="9">
        <f>IF(P$18&lt;0,(O13+P13)*(P$18+1),(O13+P13)+(O$86+P$86)*P$18)</f>
        <v>1602.8428708423444</v>
      </c>
      <c r="R14" s="22">
        <f t="shared" si="1"/>
        <v>2.7329322728094062E-4</v>
      </c>
      <c r="S14" s="23"/>
      <c r="T14" s="24">
        <f t="shared" si="2"/>
        <v>49.431416831679087</v>
      </c>
      <c r="U14" s="23"/>
      <c r="V14" s="25">
        <f t="shared" si="5"/>
        <v>1951.7440899266926</v>
      </c>
      <c r="W14" s="23"/>
      <c r="X14" s="23"/>
      <c r="Y14" s="23"/>
      <c r="Z14" s="23"/>
      <c r="AA14" s="23"/>
      <c r="AB14" s="23"/>
      <c r="AC14" s="23"/>
      <c r="AD14" s="23"/>
      <c r="AE14" s="23"/>
      <c r="AF14" s="23"/>
    </row>
    <row r="15" spans="1:32" ht="15.95" customHeight="1">
      <c r="B15" s="8">
        <v>2045</v>
      </c>
      <c r="C15" s="9">
        <f t="shared" si="3"/>
        <v>25184.43259672197</v>
      </c>
      <c r="D15" s="9">
        <f>D$88*D$18</f>
        <v>219.79220545607336</v>
      </c>
      <c r="E15" s="9">
        <f>E$88*E$18</f>
        <v>1129.6238600308379</v>
      </c>
      <c r="F15" s="9">
        <f>IF(F$18&lt;0,E14*(F$18+1),E14+E$87*F$18)</f>
        <v>1671.3795211694212</v>
      </c>
      <c r="G15" s="9">
        <f t="shared" ref="G15:O15" si="9">IF(G$18&lt;0,F14*(G$18+1),F14+F$87*G$18)</f>
        <v>2024.7737048100105</v>
      </c>
      <c r="H15" s="9">
        <f t="shared" si="9"/>
        <v>2319.8923478272523</v>
      </c>
      <c r="I15" s="9">
        <f t="shared" si="9"/>
        <v>2691.2947481574897</v>
      </c>
      <c r="J15" s="9">
        <f t="shared" si="9"/>
        <v>2664.4699891673167</v>
      </c>
      <c r="K15" s="9">
        <f t="shared" si="9"/>
        <v>2381.9099737561946</v>
      </c>
      <c r="L15" s="9">
        <f t="shared" si="9"/>
        <v>2487.170222036581</v>
      </c>
      <c r="M15" s="9">
        <f t="shared" si="9"/>
        <v>2794.29111033565</v>
      </c>
      <c r="N15" s="9">
        <f t="shared" si="9"/>
        <v>2163.573270528781</v>
      </c>
      <c r="O15" s="9">
        <f t="shared" si="9"/>
        <v>1362.3096287753237</v>
      </c>
      <c r="P15" s="9">
        <f>IF(P$18&lt;0,(O14+P14)*(P$18+1),(O14+P14)+(O$87+P$87)*P$18)</f>
        <v>1273.9520146710365</v>
      </c>
      <c r="R15" s="22">
        <f t="shared" si="1"/>
        <v>2.6499610101007691E-4</v>
      </c>
      <c r="S15" s="23"/>
      <c r="T15" s="24">
        <f t="shared" si="2"/>
        <v>49.340907590782614</v>
      </c>
      <c r="U15" s="23"/>
      <c r="V15" s="25">
        <f t="shared" si="5"/>
        <v>1815.0633476867456</v>
      </c>
      <c r="W15" s="23"/>
      <c r="X15" s="23"/>
      <c r="Y15" s="23"/>
      <c r="Z15" s="23"/>
      <c r="AA15" s="23"/>
      <c r="AB15" s="23"/>
      <c r="AC15" s="23"/>
      <c r="AD15" s="23"/>
      <c r="AE15" s="23"/>
      <c r="AF15" s="23"/>
    </row>
    <row r="16" spans="1:32" ht="15.95" customHeight="1">
      <c r="B16" s="207">
        <v>2050</v>
      </c>
      <c r="C16" s="10">
        <f t="shared" si="3"/>
        <v>23445.764191826849</v>
      </c>
      <c r="D16" s="10">
        <f>D$89*D$18</f>
        <v>211.6326103677163</v>
      </c>
      <c r="E16" s="10">
        <f>E$89*E$18</f>
        <v>1083.9006214296412</v>
      </c>
      <c r="F16" s="10">
        <f>IF(F$18&lt;0,E15*(F$18+1),E15+E$88*F$18)</f>
        <v>1521.9592389971472</v>
      </c>
      <c r="G16" s="10">
        <f t="shared" ref="G16:O16" si="10">IF(G$18&lt;0,F15*(G$18+1),F15+F$88*G$18)</f>
        <v>1921.8379413040932</v>
      </c>
      <c r="H16" s="10">
        <f t="shared" si="10"/>
        <v>2187.2662526738063</v>
      </c>
      <c r="I16" s="10">
        <f t="shared" si="10"/>
        <v>2556.6551079332776</v>
      </c>
      <c r="J16" s="10">
        <f t="shared" si="10"/>
        <v>2490.3447402950637</v>
      </c>
      <c r="K16" s="10">
        <f t="shared" si="10"/>
        <v>2426.9148335066161</v>
      </c>
      <c r="L16" s="10">
        <f t="shared" si="10"/>
        <v>2199.0292454340897</v>
      </c>
      <c r="M16" s="10">
        <f t="shared" si="10"/>
        <v>2193.2970834097805</v>
      </c>
      <c r="N16" s="10">
        <f t="shared" si="10"/>
        <v>2012.3343142072385</v>
      </c>
      <c r="O16" s="10">
        <f t="shared" si="10"/>
        <v>1465.4972793966317</v>
      </c>
      <c r="P16" s="10">
        <f>IF(P$18&lt;0,(O15+P15)*(P$18+1),(O15+P15)+(O$88+P$88)*P$18)</f>
        <v>1175.09492287175</v>
      </c>
      <c r="R16" s="17">
        <f t="shared" si="1"/>
        <v>2.5720504939011753E-4</v>
      </c>
      <c r="S16" s="23"/>
      <c r="T16" s="26">
        <f t="shared" si="2"/>
        <v>49.209017483576297</v>
      </c>
      <c r="U16" s="23"/>
      <c r="V16" s="27">
        <f t="shared" si="5"/>
        <v>1718.5348254422652</v>
      </c>
      <c r="W16" s="23"/>
      <c r="X16" s="23"/>
      <c r="Y16" s="23"/>
      <c r="Z16" s="23"/>
      <c r="AA16" s="23"/>
      <c r="AB16" s="23"/>
      <c r="AC16" s="23"/>
      <c r="AD16" s="23"/>
      <c r="AE16" s="23"/>
      <c r="AF16" s="23"/>
    </row>
    <row r="17" spans="2:32" ht="15.95" customHeight="1">
      <c r="B17" s="28" t="s">
        <v>606</v>
      </c>
      <c r="C17" s="19"/>
      <c r="D17" s="273" t="s">
        <v>22</v>
      </c>
      <c r="E17" s="273"/>
      <c r="F17" s="274" t="s">
        <v>23</v>
      </c>
      <c r="G17" s="273"/>
      <c r="H17" s="273"/>
      <c r="I17" s="275"/>
      <c r="J17" s="274" t="s">
        <v>24</v>
      </c>
      <c r="K17" s="273"/>
      <c r="L17" s="273"/>
      <c r="M17" s="273"/>
      <c r="N17" s="273"/>
      <c r="O17" s="273"/>
      <c r="P17" s="27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</row>
    <row r="18" spans="2:32" ht="15.95" customHeight="1">
      <c r="B18" s="29" t="s">
        <v>607</v>
      </c>
      <c r="C18" s="2"/>
      <c r="D18" s="30">
        <v>5.2649682139883848E-5</v>
      </c>
      <c r="E18" s="30">
        <v>2.5342947267565659E-4</v>
      </c>
      <c r="F18" s="30">
        <v>8.8019872562466304E-5</v>
      </c>
      <c r="G18" s="30">
        <v>5.0341903423711598E-5</v>
      </c>
      <c r="H18" s="30">
        <v>3.0931801456278058E-5</v>
      </c>
      <c r="I18" s="30">
        <v>4.2589687628182742E-5</v>
      </c>
      <c r="J18" s="31">
        <v>-7.4666666666666659E-2</v>
      </c>
      <c r="K18" s="31">
        <v>-8.9156626506024073E-2</v>
      </c>
      <c r="L18" s="31">
        <v>-7.677902621722843E-2</v>
      </c>
      <c r="M18" s="31">
        <v>-0.11815561959654175</v>
      </c>
      <c r="N18" s="31">
        <v>-0.27984084880636606</v>
      </c>
      <c r="O18" s="31">
        <v>-0.32264957264957261</v>
      </c>
      <c r="P18" s="31">
        <v>-0.55425709515859767</v>
      </c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</row>
    <row r="19" spans="2:32" ht="15.95" customHeight="1"/>
    <row r="20" spans="2:32" ht="15.95" customHeight="1">
      <c r="B20" s="2" t="s">
        <v>611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R20" s="2"/>
      <c r="S20" s="9"/>
      <c r="T20" s="2"/>
      <c r="U20" s="9"/>
      <c r="V20" s="10"/>
      <c r="W20" s="9"/>
      <c r="X20" s="9"/>
      <c r="Y20" s="9"/>
      <c r="Z20" s="9"/>
      <c r="AA20" s="9"/>
      <c r="AB20" s="9"/>
      <c r="AC20" s="9"/>
      <c r="AD20" s="9"/>
      <c r="AE20" s="9"/>
      <c r="AF20" s="9"/>
    </row>
    <row r="21" spans="2:32" ht="15.95" customHeight="1">
      <c r="B21" s="8">
        <v>2020</v>
      </c>
      <c r="C21" s="9">
        <f>SUM(D21:P21)</f>
        <v>41585.430407265711</v>
      </c>
      <c r="D21" s="9">
        <f>D$83*D$29</f>
        <v>445.84774872371264</v>
      </c>
      <c r="E21" s="9">
        <f>E$83*E$29</f>
        <v>2343.9494252782793</v>
      </c>
      <c r="F21" s="9">
        <f t="shared" ref="F21:O21" si="11">IF(F$29&lt;0,E$7*(F$29+1),E$7+E$82*F$29)</f>
        <v>2327.0880631922018</v>
      </c>
      <c r="G21" s="9">
        <f t="shared" si="11"/>
        <v>2879.608429742967</v>
      </c>
      <c r="H21" s="9">
        <f t="shared" si="11"/>
        <v>3758.1294217725426</v>
      </c>
      <c r="I21" s="9">
        <f t="shared" si="11"/>
        <v>4378.280679485667</v>
      </c>
      <c r="J21" s="9">
        <f t="shared" si="11"/>
        <v>3766.1066666666666</v>
      </c>
      <c r="K21" s="9">
        <f t="shared" si="11"/>
        <v>3160.6265060240967</v>
      </c>
      <c r="L21" s="9">
        <f t="shared" si="11"/>
        <v>3489.7752808988766</v>
      </c>
      <c r="M21" s="9">
        <f t="shared" si="11"/>
        <v>4347.4927953890492</v>
      </c>
      <c r="N21" s="9">
        <f t="shared" si="11"/>
        <v>4407.3740053050396</v>
      </c>
      <c r="O21" s="9">
        <f t="shared" si="11"/>
        <v>3678.0128205128208</v>
      </c>
      <c r="P21" s="9">
        <f>IF(P$29&lt;0,(O$7+P$7)*(P$29+1),(O$7+P$7)+(O$82+P$82)*P$29)</f>
        <v>2603.1385642737896</v>
      </c>
      <c r="R21" s="22">
        <f t="shared" ref="R21:R27" si="12">C21/C83</f>
        <v>3.7719251282348945E-4</v>
      </c>
      <c r="S21" s="23"/>
      <c r="T21" s="24">
        <f t="shared" ref="T21:T27" si="13">SUMPRODUCT(D21:P21,D$92:P$92)/C21</f>
        <v>50.677309093608677</v>
      </c>
      <c r="U21" s="23"/>
      <c r="V21" s="25">
        <f>SUM(D21:G21)-SUM(D$7:F$7)</f>
        <v>3756.4936669371609</v>
      </c>
      <c r="W21" s="23"/>
      <c r="X21" s="23"/>
      <c r="Y21" s="23"/>
      <c r="Z21" s="23"/>
      <c r="AA21" s="23"/>
      <c r="AB21" s="23"/>
      <c r="AC21" s="23"/>
      <c r="AD21" s="23"/>
      <c r="AE21" s="23"/>
      <c r="AF21" s="23"/>
    </row>
    <row r="22" spans="2:32" ht="15.95" customHeight="1">
      <c r="B22" s="8">
        <v>2025</v>
      </c>
      <c r="C22" s="9">
        <f t="shared" ref="C22:C27" si="14">SUM(D22:P22)</f>
        <v>38111.022975160748</v>
      </c>
      <c r="D22" s="9">
        <f>D$84*D$29</f>
        <v>422.75599300977564</v>
      </c>
      <c r="E22" s="9">
        <f>E$84*E$29</f>
        <v>2189.7887839086229</v>
      </c>
      <c r="F22" s="9">
        <f t="shared" ref="F22:O22" si="15">IF(F$29&lt;0,E21*(F$29+1),E21+E$83*F$29)</f>
        <v>3158.0383610584704</v>
      </c>
      <c r="G22" s="9">
        <f t="shared" si="15"/>
        <v>2793.2763400170843</v>
      </c>
      <c r="H22" s="9">
        <f t="shared" si="15"/>
        <v>3081.8353201896671</v>
      </c>
      <c r="I22" s="9">
        <f t="shared" si="15"/>
        <v>4072.2283680303904</v>
      </c>
      <c r="J22" s="9">
        <f t="shared" si="15"/>
        <v>4051.3690554174041</v>
      </c>
      <c r="K22" s="9">
        <f t="shared" si="15"/>
        <v>3430.3333012048192</v>
      </c>
      <c r="L22" s="9">
        <f t="shared" si="15"/>
        <v>2917.9566806552057</v>
      </c>
      <c r="M22" s="9">
        <f t="shared" si="15"/>
        <v>3077.4387203315741</v>
      </c>
      <c r="N22" s="9">
        <f t="shared" si="15"/>
        <v>3130.8867213478165</v>
      </c>
      <c r="O22" s="9">
        <f t="shared" si="15"/>
        <v>2985.3366659865333</v>
      </c>
      <c r="P22" s="9">
        <f>IF(P$29&lt;0,(O21+P21)*(P$29+1),(O21+P21)+(O$83+P$83)*P$29)</f>
        <v>2799.7786640033805</v>
      </c>
      <c r="R22" s="22">
        <f t="shared" si="12"/>
        <v>3.5134640723426296E-4</v>
      </c>
      <c r="S22" s="23"/>
      <c r="T22" s="24">
        <f t="shared" si="13"/>
        <v>49.363371836581031</v>
      </c>
      <c r="U22" s="23"/>
      <c r="V22" s="25">
        <f t="shared" ref="V22:V27" si="16">SUM(D22:G22)-SUM(D21:F21)</f>
        <v>3446.9742407997583</v>
      </c>
      <c r="W22" s="23"/>
      <c r="X22" s="23"/>
      <c r="Y22" s="23"/>
      <c r="Z22" s="23"/>
      <c r="AA22" s="23"/>
      <c r="AB22" s="23"/>
      <c r="AC22" s="23"/>
      <c r="AD22" s="23"/>
      <c r="AE22" s="23"/>
      <c r="AF22" s="23"/>
    </row>
    <row r="23" spans="2:32" ht="15.95" customHeight="1">
      <c r="B23" s="8">
        <v>2030</v>
      </c>
      <c r="C23" s="9">
        <f t="shared" si="14"/>
        <v>35515.79616383867</v>
      </c>
      <c r="D23" s="9">
        <f>D$85*D$29</f>
        <v>397.84095247849336</v>
      </c>
      <c r="E23" s="9">
        <f>E$85*E$29</f>
        <v>2079.5032467106757</v>
      </c>
      <c r="F23" s="9">
        <f t="shared" ref="F23:O23" si="17">IF(F$29&lt;0,E22*(F$29+1),E22+E$84*F$29)</f>
        <v>2950.335407248811</v>
      </c>
      <c r="G23" s="9">
        <f t="shared" si="17"/>
        <v>3629.9510408926149</v>
      </c>
      <c r="H23" s="9">
        <f t="shared" si="17"/>
        <v>2984.4882613061964</v>
      </c>
      <c r="I23" s="9">
        <f t="shared" si="17"/>
        <v>3359.579368370597</v>
      </c>
      <c r="J23" s="9">
        <f t="shared" si="17"/>
        <v>3768.1686498841214</v>
      </c>
      <c r="K23" s="9">
        <f t="shared" si="17"/>
        <v>3690.1626577054913</v>
      </c>
      <c r="L23" s="9">
        <f t="shared" si="17"/>
        <v>3166.9556507377829</v>
      </c>
      <c r="M23" s="9">
        <f t="shared" si="17"/>
        <v>2573.1837010965214</v>
      </c>
      <c r="N23" s="9">
        <f t="shared" si="17"/>
        <v>2216.2456566844094</v>
      </c>
      <c r="O23" s="9">
        <f t="shared" si="17"/>
        <v>2120.707458690722</v>
      </c>
      <c r="P23" s="9">
        <f>IF(P$29&lt;0,(O22+P22)*(P$29+1),(O22+P22)+(O$84+P$84)*P$29)</f>
        <v>2578.6741120322322</v>
      </c>
      <c r="R23" s="22">
        <f t="shared" si="12"/>
        <v>3.3532918885728841E-4</v>
      </c>
      <c r="S23" s="23"/>
      <c r="T23" s="24">
        <f t="shared" si="13"/>
        <v>48.109348221763625</v>
      </c>
      <c r="U23" s="23"/>
      <c r="V23" s="25">
        <f t="shared" si="16"/>
        <v>3287.0475093537252</v>
      </c>
      <c r="W23" s="23"/>
      <c r="X23" s="23"/>
      <c r="Y23" s="23"/>
      <c r="Z23" s="23"/>
      <c r="AA23" s="23"/>
      <c r="AB23" s="23"/>
      <c r="AC23" s="23"/>
      <c r="AD23" s="23"/>
      <c r="AE23" s="23"/>
      <c r="AF23" s="23"/>
    </row>
    <row r="24" spans="2:32" ht="15.95" customHeight="1">
      <c r="B24" s="8">
        <v>2035</v>
      </c>
      <c r="C24" s="9">
        <f t="shared" si="14"/>
        <v>33791.54795914537</v>
      </c>
      <c r="D24" s="9">
        <f>D$86*D$29</f>
        <v>377.34216728510455</v>
      </c>
      <c r="E24" s="9">
        <f>E$86*E$29</f>
        <v>1960.465269244402</v>
      </c>
      <c r="F24" s="9">
        <f t="shared" ref="F24:O24" si="18">IF(F$29&lt;0,E23*(F$29+1),E23+E$85*F$29)</f>
        <v>2801.7460420581738</v>
      </c>
      <c r="G24" s="9">
        <f t="shared" si="18"/>
        <v>3391.7794806771608</v>
      </c>
      <c r="H24" s="9">
        <f t="shared" si="18"/>
        <v>3823.5169650679541</v>
      </c>
      <c r="I24" s="9">
        <f t="shared" si="18"/>
        <v>3247.1654834639671</v>
      </c>
      <c r="J24" s="9">
        <f t="shared" si="18"/>
        <v>3108.730775532259</v>
      </c>
      <c r="K24" s="9">
        <f t="shared" si="18"/>
        <v>3432.2114449546939</v>
      </c>
      <c r="L24" s="9">
        <f t="shared" si="18"/>
        <v>3406.8355622636841</v>
      </c>
      <c r="M24" s="9">
        <f t="shared" si="18"/>
        <v>2792.7620435900913</v>
      </c>
      <c r="N24" s="9">
        <f t="shared" si="18"/>
        <v>1853.1017900469644</v>
      </c>
      <c r="O24" s="9">
        <f t="shared" si="18"/>
        <v>1501.1749426687134</v>
      </c>
      <c r="P24" s="9">
        <f>IF(P$29&lt;0,(O23+P23)*(P$29+1),(O23+P23)+(O$85+P$85)*P$29)</f>
        <v>2094.7159922922015</v>
      </c>
      <c r="R24" s="22">
        <f t="shared" si="12"/>
        <v>3.2884435732139655E-4</v>
      </c>
      <c r="S24" s="23"/>
      <c r="T24" s="24">
        <f t="shared" si="13"/>
        <v>47.261580966322946</v>
      </c>
      <c r="U24" s="23"/>
      <c r="V24" s="25">
        <f t="shared" si="16"/>
        <v>3103.653352826861</v>
      </c>
      <c r="W24" s="23"/>
      <c r="X24" s="23"/>
      <c r="Y24" s="23"/>
      <c r="Z24" s="23"/>
      <c r="AA24" s="23"/>
      <c r="AB24" s="23"/>
      <c r="AC24" s="23"/>
      <c r="AD24" s="23"/>
      <c r="AE24" s="23"/>
      <c r="AF24" s="23"/>
    </row>
    <row r="25" spans="2:32" ht="15.95" customHeight="1">
      <c r="B25" s="8">
        <v>2040</v>
      </c>
      <c r="C25" s="9">
        <f t="shared" si="14"/>
        <v>32608.112072889639</v>
      </c>
      <c r="D25" s="9">
        <f>D$87*D$29</f>
        <v>343.60535661319193</v>
      </c>
      <c r="E25" s="9">
        <f>E$87*E$29</f>
        <v>1860.7891767758122</v>
      </c>
      <c r="F25" s="9">
        <f t="shared" ref="F25:O25" si="19">IF(F$29&lt;0,E24*(F$29+1),E24+E$86*F$29)</f>
        <v>2641.3643822803929</v>
      </c>
      <c r="G25" s="9">
        <f t="shared" si="19"/>
        <v>3221.4106978083232</v>
      </c>
      <c r="H25" s="9">
        <f t="shared" si="19"/>
        <v>3572.947351124596</v>
      </c>
      <c r="I25" s="9">
        <f t="shared" si="19"/>
        <v>4089.4541296858488</v>
      </c>
      <c r="J25" s="9">
        <f t="shared" si="19"/>
        <v>3004.7104606986577</v>
      </c>
      <c r="K25" s="9">
        <f t="shared" si="19"/>
        <v>2831.5668268703466</v>
      </c>
      <c r="L25" s="9">
        <f t="shared" si="19"/>
        <v>3168.6895924394462</v>
      </c>
      <c r="M25" s="9">
        <f t="shared" si="19"/>
        <v>3004.2987955408857</v>
      </c>
      <c r="N25" s="9">
        <f t="shared" si="19"/>
        <v>2011.2331427976387</v>
      </c>
      <c r="O25" s="9">
        <f t="shared" si="19"/>
        <v>1255.1992894121533</v>
      </c>
      <c r="P25" s="9">
        <f>IF(P$29&lt;0,(O24+P24)*(P$29+1),(O24+P24)+(O$86+P$86)*P$29)</f>
        <v>1602.8428708423444</v>
      </c>
      <c r="R25" s="22">
        <f t="shared" si="12"/>
        <v>3.2943275641535597E-4</v>
      </c>
      <c r="S25" s="23"/>
      <c r="T25" s="24">
        <f t="shared" si="13"/>
        <v>46.891010581236102</v>
      </c>
      <c r="U25" s="23"/>
      <c r="V25" s="25">
        <f t="shared" si="16"/>
        <v>2927.6161348900405</v>
      </c>
      <c r="W25" s="23"/>
      <c r="X25" s="23"/>
      <c r="Y25" s="23"/>
      <c r="Z25" s="23"/>
      <c r="AA25" s="23"/>
      <c r="AB25" s="23"/>
      <c r="AC25" s="23"/>
      <c r="AD25" s="23"/>
      <c r="AE25" s="23"/>
      <c r="AF25" s="23"/>
    </row>
    <row r="26" spans="2:32" ht="15.95" customHeight="1">
      <c r="B26" s="8">
        <v>2045</v>
      </c>
      <c r="C26" s="9">
        <f t="shared" si="14"/>
        <v>31513.154500622484</v>
      </c>
      <c r="D26" s="9">
        <f>D$88*D$29</f>
        <v>329.68830818411004</v>
      </c>
      <c r="E26" s="9">
        <f>E$88*E$29</f>
        <v>1694.4357900462569</v>
      </c>
      <c r="F26" s="9">
        <f t="shared" ref="F26:O26" si="20">IF(F$29&lt;0,E25*(F$29+1),E25+E$87*F$29)</f>
        <v>2507.0692817541321</v>
      </c>
      <c r="G26" s="9">
        <f t="shared" si="20"/>
        <v>3037.1605572150165</v>
      </c>
      <c r="H26" s="9">
        <f t="shared" si="20"/>
        <v>3393.6959137633603</v>
      </c>
      <c r="I26" s="9">
        <f t="shared" si="20"/>
        <v>3821.8879083832107</v>
      </c>
      <c r="J26" s="9">
        <f t="shared" si="20"/>
        <v>3784.1082213359723</v>
      </c>
      <c r="K26" s="9">
        <f t="shared" si="20"/>
        <v>2736.8206123954042</v>
      </c>
      <c r="L26" s="9">
        <f t="shared" si="20"/>
        <v>2614.1618832342338</v>
      </c>
      <c r="M26" s="9">
        <f t="shared" si="20"/>
        <v>2794.29111033565</v>
      </c>
      <c r="N26" s="9">
        <f t="shared" si="20"/>
        <v>2163.573270528781</v>
      </c>
      <c r="O26" s="9">
        <f t="shared" si="20"/>
        <v>1362.3096287753237</v>
      </c>
      <c r="P26" s="9">
        <f>IF(P$29&lt;0,(O25+P25)*(P$29+1),(O25+P25)+(O$87+P$87)*P$29)</f>
        <v>1273.9520146710365</v>
      </c>
      <c r="R26" s="22">
        <f t="shared" si="12"/>
        <v>3.3158829531383096E-4</v>
      </c>
      <c r="S26" s="23"/>
      <c r="T26" s="24">
        <f t="shared" si="13"/>
        <v>46.882306877592349</v>
      </c>
      <c r="U26" s="23"/>
      <c r="V26" s="25">
        <f t="shared" si="16"/>
        <v>2722.5950215301182</v>
      </c>
      <c r="W26" s="23"/>
      <c r="X26" s="23"/>
      <c r="Y26" s="23"/>
      <c r="Z26" s="23"/>
      <c r="AA26" s="23"/>
      <c r="AB26" s="23"/>
      <c r="AC26" s="23"/>
      <c r="AD26" s="23"/>
      <c r="AE26" s="23"/>
      <c r="AF26" s="23"/>
    </row>
    <row r="27" spans="2:32" ht="15.95" customHeight="1">
      <c r="B27" s="207">
        <v>2050</v>
      </c>
      <c r="C27" s="10">
        <f t="shared" si="14"/>
        <v>30407.258246489735</v>
      </c>
      <c r="D27" s="10">
        <f>D$89*D$29</f>
        <v>317.44891555157443</v>
      </c>
      <c r="E27" s="10">
        <f>E$89*E$29</f>
        <v>1625.8509321444621</v>
      </c>
      <c r="F27" s="10">
        <f t="shared" ref="F27:O27" si="21">IF(F$29&lt;0,E26*(F$29+1),E26+E$88*F$29)</f>
        <v>2282.9388584957205</v>
      </c>
      <c r="G27" s="10">
        <f t="shared" si="21"/>
        <v>2882.7569119561399</v>
      </c>
      <c r="H27" s="10">
        <f t="shared" si="21"/>
        <v>3199.6531050788121</v>
      </c>
      <c r="I27" s="10">
        <f t="shared" si="21"/>
        <v>3630.4586738693856</v>
      </c>
      <c r="J27" s="10">
        <f t="shared" si="21"/>
        <v>3536.5202778905978</v>
      </c>
      <c r="K27" s="10">
        <f t="shared" si="21"/>
        <v>3446.7298979879461</v>
      </c>
      <c r="L27" s="10">
        <f t="shared" si="21"/>
        <v>2526.6901908444461</v>
      </c>
      <c r="M27" s="10">
        <f t="shared" si="21"/>
        <v>2305.2839661950306</v>
      </c>
      <c r="N27" s="10">
        <f t="shared" si="21"/>
        <v>2012.3343142072385</v>
      </c>
      <c r="O27" s="10">
        <f t="shared" si="21"/>
        <v>1465.4972793966317</v>
      </c>
      <c r="P27" s="10">
        <f>IF(P$29&lt;0,(O26+P26)*(P$29+1),(O26+P26)+(O$88+P$88)*P$29)</f>
        <v>1175.09492287175</v>
      </c>
      <c r="R27" s="17">
        <f t="shared" si="12"/>
        <v>3.3357412857682849E-4</v>
      </c>
      <c r="S27" s="23"/>
      <c r="T27" s="26">
        <f t="shared" si="13"/>
        <v>46.999936883719926</v>
      </c>
      <c r="U27" s="23"/>
      <c r="V27" s="27">
        <f t="shared" si="16"/>
        <v>2577.8022381633982</v>
      </c>
      <c r="W27" s="23"/>
      <c r="X27" s="23"/>
      <c r="Y27" s="23"/>
      <c r="Z27" s="23"/>
      <c r="AA27" s="23"/>
      <c r="AB27" s="23"/>
      <c r="AC27" s="23"/>
      <c r="AD27" s="23"/>
      <c r="AE27" s="23"/>
      <c r="AF27" s="23"/>
    </row>
    <row r="28" spans="2:32" ht="15.95" customHeight="1">
      <c r="B28" s="28" t="s">
        <v>606</v>
      </c>
      <c r="C28" s="19"/>
      <c r="D28" s="273" t="s">
        <v>22</v>
      </c>
      <c r="E28" s="273"/>
      <c r="F28" s="274" t="s">
        <v>23</v>
      </c>
      <c r="G28" s="273"/>
      <c r="H28" s="273"/>
      <c r="I28" s="275"/>
      <c r="J28" s="274" t="s">
        <v>24</v>
      </c>
      <c r="K28" s="273"/>
      <c r="L28" s="273"/>
      <c r="M28" s="273"/>
      <c r="N28" s="273"/>
      <c r="O28" s="273"/>
      <c r="P28" s="27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</row>
    <row r="29" spans="2:32" ht="15.95" customHeight="1">
      <c r="B29" s="29" t="s">
        <v>608</v>
      </c>
      <c r="C29" s="2"/>
      <c r="D29" s="30">
        <f>D$18*1.5</f>
        <v>7.8974523209825772E-5</v>
      </c>
      <c r="E29" s="30">
        <f>E$18*1.5</f>
        <v>3.8014420901348492E-4</v>
      </c>
      <c r="F29" s="30">
        <f>F$18*1.5</f>
        <v>1.3202980884369946E-4</v>
      </c>
      <c r="G29" s="30">
        <f>G$18*1.5</f>
        <v>7.5512855135567396E-5</v>
      </c>
      <c r="H29" s="30">
        <f>H$18</f>
        <v>3.0931801456278058E-5</v>
      </c>
      <c r="I29" s="30">
        <f t="shared" ref="I29:P29" si="22">I$18</f>
        <v>4.2589687628182742E-5</v>
      </c>
      <c r="J29" s="31">
        <f t="shared" si="22"/>
        <v>-7.4666666666666659E-2</v>
      </c>
      <c r="K29" s="31">
        <f t="shared" si="22"/>
        <v>-8.9156626506024073E-2</v>
      </c>
      <c r="L29" s="31">
        <f t="shared" si="22"/>
        <v>-7.677902621722843E-2</v>
      </c>
      <c r="M29" s="31">
        <f t="shared" si="22"/>
        <v>-0.11815561959654175</v>
      </c>
      <c r="N29" s="31">
        <f t="shared" si="22"/>
        <v>-0.27984084880636606</v>
      </c>
      <c r="O29" s="31">
        <f t="shared" si="22"/>
        <v>-0.32264957264957261</v>
      </c>
      <c r="P29" s="31">
        <f t="shared" si="22"/>
        <v>-0.55425709515859767</v>
      </c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</row>
    <row r="30" spans="2:32" ht="15.95" customHeight="1"/>
    <row r="31" spans="2:32" ht="15.95" customHeight="1">
      <c r="B31" s="2" t="s">
        <v>612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R31" s="2"/>
      <c r="S31" s="9"/>
      <c r="T31" s="2"/>
      <c r="U31" s="9"/>
      <c r="V31" s="10"/>
      <c r="W31" s="9"/>
      <c r="X31" s="9"/>
      <c r="Y31" s="9"/>
      <c r="Z31" s="9"/>
      <c r="AA31" s="9"/>
      <c r="AB31" s="9"/>
      <c r="AC31" s="9"/>
      <c r="AD31" s="9"/>
      <c r="AE31" s="9"/>
      <c r="AF31" s="9"/>
    </row>
    <row r="32" spans="2:32" ht="15.95" customHeight="1">
      <c r="B32" s="8">
        <v>2020</v>
      </c>
      <c r="C32" s="9">
        <f>SUM(D32:P32)</f>
        <v>42944.261629578097</v>
      </c>
      <c r="D32" s="9">
        <f>D$83*D$40</f>
        <v>594.46366496495023</v>
      </c>
      <c r="E32" s="9">
        <f>E$83*E$40</f>
        <v>3125.2659003710387</v>
      </c>
      <c r="F32" s="9">
        <f t="shared" ref="F32:O32" si="23">IF(F$40&lt;0,E$7*(F$40+1),E$7+E$82*F$40)</f>
        <v>2592.7840842562691</v>
      </c>
      <c r="G32" s="9">
        <f t="shared" si="23"/>
        <v>3042.8112396572897</v>
      </c>
      <c r="H32" s="9">
        <f t="shared" si="23"/>
        <v>3758.1294217725426</v>
      </c>
      <c r="I32" s="9">
        <f t="shared" si="23"/>
        <v>4378.280679485667</v>
      </c>
      <c r="J32" s="9">
        <f t="shared" si="23"/>
        <v>3766.1066666666666</v>
      </c>
      <c r="K32" s="9">
        <f t="shared" si="23"/>
        <v>3160.6265060240967</v>
      </c>
      <c r="L32" s="9">
        <f t="shared" si="23"/>
        <v>3489.7752808988766</v>
      </c>
      <c r="M32" s="9">
        <f t="shared" si="23"/>
        <v>4347.4927953890492</v>
      </c>
      <c r="N32" s="9">
        <f t="shared" si="23"/>
        <v>4407.3740053050396</v>
      </c>
      <c r="O32" s="9">
        <f t="shared" si="23"/>
        <v>3678.0128205128208</v>
      </c>
      <c r="P32" s="9">
        <f>IF(P$40&lt;0,(O$7+P$7)*(P$40+1),(O$7+P$7)+(O$82+P$82)*P$40)</f>
        <v>2603.1385642737896</v>
      </c>
      <c r="R32" s="22">
        <f t="shared" ref="R32:R38" si="24">C32/C83</f>
        <v>3.8951752565196009E-4</v>
      </c>
      <c r="S32" s="23"/>
      <c r="T32" s="24">
        <f t="shared" ref="T32:T38" si="25">SUMPRODUCT(D32:P32,D$92:P$92)/C32</f>
        <v>49.821544133390354</v>
      </c>
      <c r="U32" s="23"/>
      <c r="V32" s="25">
        <f>SUM(D32:G32)-SUM(D$7:F$7)</f>
        <v>5115.3248892495467</v>
      </c>
      <c r="W32" s="23"/>
      <c r="X32" s="23"/>
      <c r="Y32" s="23"/>
      <c r="Z32" s="23"/>
      <c r="AA32" s="23"/>
      <c r="AB32" s="23"/>
      <c r="AC32" s="23"/>
      <c r="AD32" s="23"/>
      <c r="AE32" s="23"/>
      <c r="AF32" s="23"/>
    </row>
    <row r="33" spans="2:32" ht="15.95" customHeight="1">
      <c r="B33" s="8">
        <v>2025</v>
      </c>
      <c r="C33" s="9">
        <f t="shared" ref="C33:C38" si="26">SUM(D33:P33)</f>
        <v>40618.845611073055</v>
      </c>
      <c r="D33" s="9">
        <f>D$84*D$40</f>
        <v>563.67465734636755</v>
      </c>
      <c r="E33" s="9">
        <f>E$84*E$40</f>
        <v>2919.7183785448301</v>
      </c>
      <c r="F33" s="9">
        <f t="shared" ref="F33:O33" si="27">IF(F$40&lt;0,E32*(F$40+1),E32+E$83*F$40)</f>
        <v>4210.7178147446266</v>
      </c>
      <c r="G33" s="9">
        <f t="shared" si="27"/>
        <v>3214.3684533561127</v>
      </c>
      <c r="H33" s="9">
        <f t="shared" si="27"/>
        <v>3245.0381301039897</v>
      </c>
      <c r="I33" s="9">
        <f t="shared" si="27"/>
        <v>4072.2283680303904</v>
      </c>
      <c r="J33" s="9">
        <f t="shared" si="27"/>
        <v>4051.3690554174041</v>
      </c>
      <c r="K33" s="9">
        <f t="shared" si="27"/>
        <v>3430.3333012048192</v>
      </c>
      <c r="L33" s="9">
        <f t="shared" si="27"/>
        <v>2917.9566806552057</v>
      </c>
      <c r="M33" s="9">
        <f t="shared" si="27"/>
        <v>3077.4387203315741</v>
      </c>
      <c r="N33" s="9">
        <f t="shared" si="27"/>
        <v>3130.8867213478165</v>
      </c>
      <c r="O33" s="9">
        <f t="shared" si="27"/>
        <v>2985.3366659865333</v>
      </c>
      <c r="P33" s="9">
        <f>IF(P$40&lt;0,(O32+P32)*(P$40+1),(O32+P32)+(O$83+P$83)*P$40)</f>
        <v>2799.7786640033805</v>
      </c>
      <c r="R33" s="22">
        <f t="shared" si="24"/>
        <v>3.7446608244431499E-4</v>
      </c>
      <c r="S33" s="23"/>
      <c r="T33" s="24">
        <f t="shared" si="25"/>
        <v>47.950118574598577</v>
      </c>
      <c r="U33" s="23"/>
      <c r="V33" s="25">
        <f t="shared" ref="V33:V38" si="28">SUM(D33:G33)-SUM(D32:F32)</f>
        <v>4595.9656543996789</v>
      </c>
      <c r="W33" s="23"/>
      <c r="X33" s="23"/>
      <c r="Y33" s="23"/>
      <c r="Z33" s="23"/>
      <c r="AA33" s="23"/>
      <c r="AB33" s="23"/>
      <c r="AC33" s="23"/>
      <c r="AD33" s="23"/>
      <c r="AE33" s="23"/>
      <c r="AF33" s="23"/>
    </row>
    <row r="34" spans="2:32" ht="15.95" customHeight="1">
      <c r="B34" s="8">
        <v>2030</v>
      </c>
      <c r="C34" s="9">
        <f t="shared" si="26"/>
        <v>39119.30130286888</v>
      </c>
      <c r="D34" s="9">
        <f>D$85*D$40</f>
        <v>530.45460330465778</v>
      </c>
      <c r="E34" s="9">
        <f>E$85*E$40</f>
        <v>2772.670995614234</v>
      </c>
      <c r="F34" s="9">
        <f t="shared" ref="F34:O34" si="29">IF(F$40&lt;0,E33*(F$40+1),E33+E$84*F$40)</f>
        <v>3933.7805429984137</v>
      </c>
      <c r="G34" s="9">
        <f t="shared" si="29"/>
        <v>4839.9347211901531</v>
      </c>
      <c r="H34" s="9">
        <f t="shared" si="29"/>
        <v>3405.5803746452248</v>
      </c>
      <c r="I34" s="9">
        <f t="shared" si="29"/>
        <v>3522.7821782849196</v>
      </c>
      <c r="J34" s="9">
        <f t="shared" si="29"/>
        <v>3768.1686498841214</v>
      </c>
      <c r="K34" s="9">
        <f t="shared" si="29"/>
        <v>3690.1626577054913</v>
      </c>
      <c r="L34" s="9">
        <f t="shared" si="29"/>
        <v>3166.9556507377829</v>
      </c>
      <c r="M34" s="9">
        <f t="shared" si="29"/>
        <v>2573.1837010965214</v>
      </c>
      <c r="N34" s="9">
        <f t="shared" si="29"/>
        <v>2216.2456566844094</v>
      </c>
      <c r="O34" s="9">
        <f t="shared" si="29"/>
        <v>2120.707458690722</v>
      </c>
      <c r="P34" s="9">
        <f>IF(P$40&lt;0,(O33+P33)*(P$40+1),(O33+P33)+(O$84+P$84)*P$40)</f>
        <v>2578.6741120322322</v>
      </c>
      <c r="R34" s="22">
        <f t="shared" si="24"/>
        <v>3.6935237250604455E-4</v>
      </c>
      <c r="S34" s="23"/>
      <c r="T34" s="24">
        <f t="shared" si="25"/>
        <v>46.367222567722571</v>
      </c>
      <c r="U34" s="23"/>
      <c r="V34" s="25">
        <f t="shared" si="28"/>
        <v>4382.7300124716339</v>
      </c>
      <c r="W34" s="23"/>
      <c r="X34" s="23"/>
      <c r="Y34" s="23"/>
      <c r="Z34" s="23"/>
      <c r="AA34" s="23"/>
      <c r="AB34" s="23"/>
      <c r="AC34" s="23"/>
      <c r="AD34" s="23"/>
      <c r="AE34" s="23"/>
      <c r="AF34" s="23"/>
    </row>
    <row r="35" spans="2:32" ht="15.95" customHeight="1">
      <c r="B35" s="8">
        <v>2035</v>
      </c>
      <c r="C35" s="9">
        <f t="shared" si="26"/>
        <v>38417.418405977609</v>
      </c>
      <c r="D35" s="9">
        <f>D$86*D$40</f>
        <v>503.12288971347277</v>
      </c>
      <c r="E35" s="9">
        <f>E$86*E$40</f>
        <v>2613.9536923258688</v>
      </c>
      <c r="F35" s="9">
        <f t="shared" ref="F35:O35" si="30">IF(F$40&lt;0,E34*(F$40+1),E34+E$85*F$40)</f>
        <v>3735.6613894108978</v>
      </c>
      <c r="G35" s="9">
        <f t="shared" si="30"/>
        <v>4522.3726409028795</v>
      </c>
      <c r="H35" s="9">
        <f t="shared" si="30"/>
        <v>5033.5006453654923</v>
      </c>
      <c r="I35" s="9">
        <f t="shared" si="30"/>
        <v>3668.2575968029955</v>
      </c>
      <c r="J35" s="9">
        <f t="shared" si="30"/>
        <v>3259.7477756396456</v>
      </c>
      <c r="K35" s="9">
        <f t="shared" si="30"/>
        <v>3432.2114449546939</v>
      </c>
      <c r="L35" s="9">
        <f t="shared" si="30"/>
        <v>3406.8355622636841</v>
      </c>
      <c r="M35" s="9">
        <f t="shared" si="30"/>
        <v>2792.7620435900913</v>
      </c>
      <c r="N35" s="9">
        <f t="shared" si="30"/>
        <v>1853.1017900469644</v>
      </c>
      <c r="O35" s="9">
        <f t="shared" si="30"/>
        <v>1501.1749426687134</v>
      </c>
      <c r="P35" s="9">
        <f>IF(P$40&lt;0,(O34+P34)*(P$40+1),(O34+P34)+(O$85+P$85)*P$40)</f>
        <v>2094.7159922922015</v>
      </c>
      <c r="R35" s="22">
        <f t="shared" si="24"/>
        <v>3.7386127681794462E-4</v>
      </c>
      <c r="S35" s="23"/>
      <c r="T35" s="24">
        <f t="shared" si="25"/>
        <v>45.409213561528944</v>
      </c>
      <c r="U35" s="23"/>
      <c r="V35" s="25">
        <f t="shared" si="28"/>
        <v>4138.2044704358141</v>
      </c>
      <c r="W35" s="23"/>
      <c r="X35" s="23"/>
      <c r="Y35" s="23"/>
      <c r="Z35" s="23"/>
      <c r="AA35" s="23"/>
      <c r="AB35" s="23"/>
      <c r="AC35" s="23"/>
      <c r="AD35" s="23"/>
      <c r="AE35" s="23"/>
      <c r="AF35" s="23"/>
    </row>
    <row r="36" spans="2:32" ht="15.95" customHeight="1">
      <c r="B36" s="8">
        <v>2040</v>
      </c>
      <c r="C36" s="9">
        <f t="shared" si="26"/>
        <v>38164.948853947928</v>
      </c>
      <c r="D36" s="9">
        <f>D$87*D$40</f>
        <v>458.14047548425594</v>
      </c>
      <c r="E36" s="9">
        <f>E$87*E$40</f>
        <v>2481.0522357010827</v>
      </c>
      <c r="F36" s="9">
        <f t="shared" ref="F36:O36" si="31">IF(F$40&lt;0,E35*(F$40+1),E35+E$86*F$40)</f>
        <v>3521.8191763738564</v>
      </c>
      <c r="G36" s="9">
        <f t="shared" si="31"/>
        <v>4295.2142637444304</v>
      </c>
      <c r="H36" s="9">
        <f t="shared" si="31"/>
        <v>4703.5405113503148</v>
      </c>
      <c r="I36" s="9">
        <f t="shared" si="31"/>
        <v>5299.4378099833866</v>
      </c>
      <c r="J36" s="9">
        <f t="shared" si="31"/>
        <v>3394.3610295750386</v>
      </c>
      <c r="K36" s="9">
        <f t="shared" si="31"/>
        <v>2969.1196607030988</v>
      </c>
      <c r="L36" s="9">
        <f t="shared" si="31"/>
        <v>3168.6895924394462</v>
      </c>
      <c r="M36" s="9">
        <f t="shared" si="31"/>
        <v>3004.2987955408857</v>
      </c>
      <c r="N36" s="9">
        <f t="shared" si="31"/>
        <v>2011.2331427976387</v>
      </c>
      <c r="O36" s="9">
        <f t="shared" si="31"/>
        <v>1255.1992894121533</v>
      </c>
      <c r="P36" s="9">
        <f>IF(P$40&lt;0,(O35+P35)*(P$40+1),(O35+P35)+(O$86+P$86)*P$40)</f>
        <v>1602.8428708423444</v>
      </c>
      <c r="R36" s="22">
        <f t="shared" si="24"/>
        <v>3.8557228554977121E-4</v>
      </c>
      <c r="S36" s="23"/>
      <c r="T36" s="24">
        <f t="shared" si="25"/>
        <v>45.090373323819385</v>
      </c>
      <c r="U36" s="23"/>
      <c r="V36" s="25">
        <f t="shared" si="28"/>
        <v>3903.4881798533852</v>
      </c>
      <c r="W36" s="23"/>
      <c r="X36" s="23"/>
      <c r="Y36" s="23"/>
      <c r="Z36" s="23"/>
      <c r="AA36" s="23"/>
      <c r="AB36" s="23"/>
      <c r="AC36" s="23"/>
      <c r="AD36" s="23"/>
      <c r="AE36" s="23"/>
      <c r="AF36" s="23"/>
    </row>
    <row r="37" spans="2:32" ht="15.95" customHeight="1">
      <c r="B37" s="8">
        <v>2045</v>
      </c>
      <c r="C37" s="9">
        <f t="shared" si="26"/>
        <v>37841.876404522998</v>
      </c>
      <c r="D37" s="9">
        <f>D$88*D$40</f>
        <v>439.58441091214672</v>
      </c>
      <c r="E37" s="9">
        <f>E$88*E$40</f>
        <v>2259.2477200616759</v>
      </c>
      <c r="F37" s="9">
        <f t="shared" ref="F37:O37" si="32">IF(F$40&lt;0,E36*(F$40+1),E36+E$87*F$40)</f>
        <v>3342.7590423388424</v>
      </c>
      <c r="G37" s="9">
        <f t="shared" si="32"/>
        <v>4049.547409620021</v>
      </c>
      <c r="H37" s="9">
        <f t="shared" si="32"/>
        <v>4467.4994796994679</v>
      </c>
      <c r="I37" s="9">
        <f t="shared" si="32"/>
        <v>4952.4810686089295</v>
      </c>
      <c r="J37" s="9">
        <f t="shared" si="32"/>
        <v>4903.7464535046274</v>
      </c>
      <c r="K37" s="9">
        <f t="shared" si="32"/>
        <v>3091.7312510346137</v>
      </c>
      <c r="L37" s="9">
        <f t="shared" si="32"/>
        <v>2741.153544431887</v>
      </c>
      <c r="M37" s="9">
        <f t="shared" si="32"/>
        <v>2794.29111033565</v>
      </c>
      <c r="N37" s="9">
        <f t="shared" si="32"/>
        <v>2163.573270528781</v>
      </c>
      <c r="O37" s="9">
        <f t="shared" si="32"/>
        <v>1362.3096287753237</v>
      </c>
      <c r="P37" s="9">
        <f>IF(P$40&lt;0,(O36+P36)*(P$40+1),(O36+P36)+(O$87+P$87)*P$40)</f>
        <v>1273.9520146710365</v>
      </c>
      <c r="R37" s="22">
        <f t="shared" si="24"/>
        <v>3.9818048961758501E-4</v>
      </c>
      <c r="S37" s="23"/>
      <c r="T37" s="24">
        <f t="shared" si="25"/>
        <v>45.246064972415773</v>
      </c>
      <c r="U37" s="23"/>
      <c r="V37" s="25">
        <f t="shared" si="28"/>
        <v>3630.1266953734912</v>
      </c>
      <c r="W37" s="23"/>
      <c r="X37" s="23"/>
      <c r="Y37" s="23"/>
      <c r="Z37" s="23"/>
      <c r="AA37" s="23"/>
      <c r="AB37" s="23"/>
      <c r="AC37" s="23"/>
      <c r="AD37" s="23"/>
      <c r="AE37" s="23"/>
      <c r="AF37" s="23"/>
    </row>
    <row r="38" spans="2:32" ht="15.95" customHeight="1">
      <c r="B38" s="207">
        <v>2050</v>
      </c>
      <c r="C38" s="10">
        <f t="shared" si="26"/>
        <v>37368.752301152614</v>
      </c>
      <c r="D38" s="10">
        <f>D$89*D$40</f>
        <v>423.26522073543259</v>
      </c>
      <c r="E38" s="10">
        <f>E$89*E$40</f>
        <v>2167.8012428592824</v>
      </c>
      <c r="F38" s="10">
        <f t="shared" ref="F38:O38" si="33">IF(F$40&lt;0,E37*(F$40+1),E37+E$88*F$40)</f>
        <v>3043.9184779942943</v>
      </c>
      <c r="G38" s="10">
        <f t="shared" si="33"/>
        <v>3843.6758826081864</v>
      </c>
      <c r="H38" s="10">
        <f t="shared" si="33"/>
        <v>4212.0399574838166</v>
      </c>
      <c r="I38" s="10">
        <f t="shared" si="33"/>
        <v>4704.2622398054937</v>
      </c>
      <c r="J38" s="10">
        <f t="shared" si="33"/>
        <v>4582.6958154861295</v>
      </c>
      <c r="K38" s="10">
        <f t="shared" si="33"/>
        <v>4466.5449624692756</v>
      </c>
      <c r="L38" s="10">
        <f t="shared" si="33"/>
        <v>2854.3511362548024</v>
      </c>
      <c r="M38" s="10">
        <f t="shared" si="33"/>
        <v>2417.2708489802808</v>
      </c>
      <c r="N38" s="10">
        <f t="shared" si="33"/>
        <v>2012.3343142072385</v>
      </c>
      <c r="O38" s="10">
        <f t="shared" si="33"/>
        <v>1465.4972793966317</v>
      </c>
      <c r="P38" s="10">
        <f>IF(P$40&lt;0,(O37+P37)*(P$40+1),(O37+P37)+(O$88+P$88)*P$40)</f>
        <v>1175.09492287175</v>
      </c>
      <c r="R38" s="17">
        <f t="shared" si="24"/>
        <v>4.0994320776353941E-4</v>
      </c>
      <c r="S38" s="23"/>
      <c r="T38" s="26">
        <f t="shared" si="25"/>
        <v>45.613923714011449</v>
      </c>
      <c r="U38" s="23"/>
      <c r="V38" s="27">
        <f t="shared" si="28"/>
        <v>3437.0696508845303</v>
      </c>
      <c r="W38" s="23"/>
      <c r="X38" s="23"/>
      <c r="Y38" s="23"/>
      <c r="Z38" s="23"/>
      <c r="AA38" s="23"/>
      <c r="AB38" s="23"/>
      <c r="AC38" s="23"/>
      <c r="AD38" s="23"/>
      <c r="AE38" s="23"/>
      <c r="AF38" s="23"/>
    </row>
    <row r="39" spans="2:32" ht="15.95" customHeight="1">
      <c r="B39" s="28" t="s">
        <v>606</v>
      </c>
      <c r="C39" s="19"/>
      <c r="D39" s="273" t="s">
        <v>22</v>
      </c>
      <c r="E39" s="273"/>
      <c r="F39" s="274" t="s">
        <v>23</v>
      </c>
      <c r="G39" s="273"/>
      <c r="H39" s="273"/>
      <c r="I39" s="275"/>
      <c r="J39" s="274" t="s">
        <v>24</v>
      </c>
      <c r="K39" s="273"/>
      <c r="L39" s="273"/>
      <c r="M39" s="273"/>
      <c r="N39" s="273"/>
      <c r="O39" s="273"/>
      <c r="P39" s="27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</row>
    <row r="40" spans="2:32" ht="15.95" customHeight="1">
      <c r="B40" s="29" t="s">
        <v>609</v>
      </c>
      <c r="C40" s="2"/>
      <c r="D40" s="30">
        <f>D$18*2</f>
        <v>1.052993642797677E-4</v>
      </c>
      <c r="E40" s="30">
        <f>E$18*2</f>
        <v>5.0685894535131319E-4</v>
      </c>
      <c r="F40" s="30">
        <f>F$18*2</f>
        <v>1.7603974512493261E-4</v>
      </c>
      <c r="G40" s="30">
        <f>G$18*2</f>
        <v>1.006838068474232E-4</v>
      </c>
      <c r="H40" s="30">
        <f>H$18</f>
        <v>3.0931801456278058E-5</v>
      </c>
      <c r="I40" s="30">
        <f t="shared" ref="I40:P40" si="34">I$18</f>
        <v>4.2589687628182742E-5</v>
      </c>
      <c r="J40" s="31">
        <f t="shared" si="34"/>
        <v>-7.4666666666666659E-2</v>
      </c>
      <c r="K40" s="31">
        <f t="shared" si="34"/>
        <v>-8.9156626506024073E-2</v>
      </c>
      <c r="L40" s="31">
        <f t="shared" si="34"/>
        <v>-7.677902621722843E-2</v>
      </c>
      <c r="M40" s="31">
        <f t="shared" si="34"/>
        <v>-0.11815561959654175</v>
      </c>
      <c r="N40" s="31">
        <f t="shared" si="34"/>
        <v>-0.27984084880636606</v>
      </c>
      <c r="O40" s="31">
        <f t="shared" si="34"/>
        <v>-0.32264957264957261</v>
      </c>
      <c r="P40" s="31">
        <f t="shared" si="34"/>
        <v>-0.55425709515859767</v>
      </c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</row>
    <row r="41" spans="2:32" ht="15.95" customHeight="1"/>
    <row r="42" spans="2:32" ht="15.95" customHeight="1">
      <c r="B42" s="2" t="s">
        <v>613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R42" s="2"/>
      <c r="S42" s="9"/>
      <c r="T42" s="2"/>
      <c r="U42" s="9"/>
      <c r="V42" s="10"/>
      <c r="W42" s="9"/>
      <c r="X42" s="9"/>
      <c r="Y42" s="9"/>
      <c r="Z42" s="9"/>
      <c r="AA42" s="9"/>
      <c r="AB42" s="9"/>
      <c r="AC42" s="9"/>
      <c r="AD42" s="9"/>
      <c r="AE42" s="9"/>
      <c r="AF42" s="9"/>
    </row>
    <row r="43" spans="2:32" ht="15.95" customHeight="1">
      <c r="B43" s="8">
        <v>2020</v>
      </c>
      <c r="C43" s="9">
        <f>SUM(D43:P43)</f>
        <v>44303.092851890484</v>
      </c>
      <c r="D43" s="9">
        <f>D$83*D$51</f>
        <v>743.07958120618775</v>
      </c>
      <c r="E43" s="9">
        <f>E$83*E$51</f>
        <v>3906.5823754637986</v>
      </c>
      <c r="F43" s="9">
        <f t="shared" ref="F43:O43" si="35">IF(F$51&lt;0,E$7*(F$51+1),E$7+E$82*F$51)</f>
        <v>2858.4801053203364</v>
      </c>
      <c r="G43" s="9">
        <f t="shared" si="35"/>
        <v>3206.0140495716118</v>
      </c>
      <c r="H43" s="9">
        <f t="shared" si="35"/>
        <v>3758.1294217725426</v>
      </c>
      <c r="I43" s="9">
        <f t="shared" si="35"/>
        <v>4378.280679485667</v>
      </c>
      <c r="J43" s="9">
        <f t="shared" si="35"/>
        <v>3766.1066666666666</v>
      </c>
      <c r="K43" s="9">
        <f t="shared" si="35"/>
        <v>3160.6265060240967</v>
      </c>
      <c r="L43" s="9">
        <f t="shared" si="35"/>
        <v>3489.7752808988766</v>
      </c>
      <c r="M43" s="9">
        <f t="shared" si="35"/>
        <v>4347.4927953890492</v>
      </c>
      <c r="N43" s="9">
        <f t="shared" si="35"/>
        <v>4407.3740053050396</v>
      </c>
      <c r="O43" s="9">
        <f t="shared" si="35"/>
        <v>3678.0128205128208</v>
      </c>
      <c r="P43" s="9">
        <f>IF(P$51&lt;0,(O$7+P$7)*(P$51+1),(O$7+P$7)+(O$82+P$82)*P$51)</f>
        <v>2603.1385642737896</v>
      </c>
      <c r="R43" s="22">
        <f t="shared" ref="R43:R49" si="36">C43/C83</f>
        <v>4.0184253848043073E-4</v>
      </c>
      <c r="S43" s="23"/>
      <c r="T43" s="24">
        <f t="shared" ref="T43:T49" si="37">SUMPRODUCT(D43:P43,D$92:P$92)/C43</f>
        <v>49.018273934690974</v>
      </c>
      <c r="U43" s="23"/>
      <c r="V43" s="25">
        <f>SUM(D43:G43)-SUM(D$7:F$7)</f>
        <v>6474.1561115619352</v>
      </c>
      <c r="W43" s="23"/>
      <c r="X43" s="23"/>
      <c r="Y43" s="23"/>
      <c r="Z43" s="23"/>
      <c r="AA43" s="23"/>
      <c r="AB43" s="23"/>
      <c r="AC43" s="23"/>
      <c r="AD43" s="23"/>
      <c r="AE43" s="23"/>
      <c r="AF43" s="23"/>
    </row>
    <row r="44" spans="2:32" ht="15.95" customHeight="1">
      <c r="B44" s="8">
        <v>2025</v>
      </c>
      <c r="C44" s="9">
        <f t="shared" ref="C44:C49" si="38">SUM(D44:P44)</f>
        <v>43126.668246985362</v>
      </c>
      <c r="D44" s="9">
        <f>D$84*D$51</f>
        <v>704.59332168295941</v>
      </c>
      <c r="E44" s="9">
        <f>E$84*E$51</f>
        <v>3649.6479731810373</v>
      </c>
      <c r="F44" s="9">
        <f t="shared" ref="F44:O44" si="39">IF(F$51&lt;0,E43*(F$51+1),E43+E$83*F$51)</f>
        <v>5263.3972684307837</v>
      </c>
      <c r="G44" s="9">
        <f t="shared" si="39"/>
        <v>3635.4605666951406</v>
      </c>
      <c r="H44" s="9">
        <f t="shared" si="39"/>
        <v>3408.2409400183114</v>
      </c>
      <c r="I44" s="9">
        <f t="shared" si="39"/>
        <v>4072.2283680303904</v>
      </c>
      <c r="J44" s="9">
        <f t="shared" si="39"/>
        <v>4051.3690554174041</v>
      </c>
      <c r="K44" s="9">
        <f t="shared" si="39"/>
        <v>3430.3333012048192</v>
      </c>
      <c r="L44" s="9">
        <f t="shared" si="39"/>
        <v>2917.9566806552057</v>
      </c>
      <c r="M44" s="9">
        <f t="shared" si="39"/>
        <v>3077.4387203315741</v>
      </c>
      <c r="N44" s="9">
        <f t="shared" si="39"/>
        <v>3130.8867213478165</v>
      </c>
      <c r="O44" s="9">
        <f t="shared" si="39"/>
        <v>2985.3366659865333</v>
      </c>
      <c r="P44" s="9">
        <f>IF(P$51&lt;0,(O43+P43)*(P$51+1),(O43+P43)+(O$83+P$83)*P$51)</f>
        <v>2799.7786640033805</v>
      </c>
      <c r="R44" s="22">
        <f t="shared" si="36"/>
        <v>3.9758575765436703E-4</v>
      </c>
      <c r="S44" s="23"/>
      <c r="T44" s="24">
        <f t="shared" si="37"/>
        <v>46.701227117723782</v>
      </c>
      <c r="U44" s="23"/>
      <c r="V44" s="25">
        <f t="shared" ref="V44:V49" si="40">SUM(D44:G44)-SUM(D43:F43)</f>
        <v>5744.9570679995986</v>
      </c>
      <c r="W44" s="23"/>
      <c r="X44" s="23"/>
      <c r="Y44" s="23"/>
      <c r="Z44" s="23"/>
      <c r="AA44" s="23"/>
      <c r="AB44" s="23"/>
      <c r="AC44" s="23"/>
      <c r="AD44" s="23"/>
      <c r="AE44" s="23"/>
      <c r="AF44" s="23"/>
    </row>
    <row r="45" spans="2:32" ht="15.95" customHeight="1">
      <c r="B45" s="8">
        <v>2030</v>
      </c>
      <c r="C45" s="9">
        <f t="shared" si="38"/>
        <v>42722.806441899105</v>
      </c>
      <c r="D45" s="9">
        <f>D$85*D$51</f>
        <v>663.06825413082231</v>
      </c>
      <c r="E45" s="9">
        <f>E$85*E$51</f>
        <v>3465.8387445177923</v>
      </c>
      <c r="F45" s="9">
        <f t="shared" ref="F45:O45" si="41">IF(F$51&lt;0,E44*(F$51+1),E44+E$84*F$51)</f>
        <v>4917.2256787480164</v>
      </c>
      <c r="G45" s="9">
        <f t="shared" si="41"/>
        <v>6049.918401487691</v>
      </c>
      <c r="H45" s="9">
        <f t="shared" si="41"/>
        <v>3826.6724879842527</v>
      </c>
      <c r="I45" s="9">
        <f t="shared" si="41"/>
        <v>3685.9849881992413</v>
      </c>
      <c r="J45" s="9">
        <f t="shared" si="41"/>
        <v>3768.1686498841214</v>
      </c>
      <c r="K45" s="9">
        <f t="shared" si="41"/>
        <v>3690.1626577054913</v>
      </c>
      <c r="L45" s="9">
        <f t="shared" si="41"/>
        <v>3166.9556507377829</v>
      </c>
      <c r="M45" s="9">
        <f t="shared" si="41"/>
        <v>2573.1837010965214</v>
      </c>
      <c r="N45" s="9">
        <f t="shared" si="41"/>
        <v>2216.2456566844094</v>
      </c>
      <c r="O45" s="9">
        <f t="shared" si="41"/>
        <v>2120.707458690722</v>
      </c>
      <c r="P45" s="9">
        <f>IF(P$51&lt;0,(O44+P44)*(P$51+1),(O44+P44)+(O$84+P$84)*P$51)</f>
        <v>2578.6741120322322</v>
      </c>
      <c r="R45" s="22">
        <f t="shared" si="36"/>
        <v>4.0337555615480079E-4</v>
      </c>
      <c r="S45" s="23"/>
      <c r="T45" s="24">
        <f t="shared" si="37"/>
        <v>44.918980170424497</v>
      </c>
      <c r="U45" s="23"/>
      <c r="V45" s="25">
        <f t="shared" si="40"/>
        <v>5478.4125155895435</v>
      </c>
      <c r="W45" s="23"/>
      <c r="X45" s="23"/>
      <c r="Y45" s="23"/>
      <c r="Z45" s="23"/>
      <c r="AA45" s="23"/>
      <c r="AB45" s="23"/>
      <c r="AC45" s="23"/>
      <c r="AD45" s="23"/>
      <c r="AE45" s="23"/>
      <c r="AF45" s="23"/>
    </row>
    <row r="46" spans="2:32" ht="15.95" customHeight="1">
      <c r="B46" s="8">
        <v>2035</v>
      </c>
      <c r="C46" s="9">
        <f t="shared" si="38"/>
        <v>43043.288852809834</v>
      </c>
      <c r="D46" s="9">
        <f>D$86*D$51</f>
        <v>628.90361214184099</v>
      </c>
      <c r="E46" s="9">
        <f>E$86*E$51</f>
        <v>3267.4421154073361</v>
      </c>
      <c r="F46" s="9">
        <f t="shared" ref="F46:O46" si="42">IF(F$51&lt;0,E45*(F$51+1),E45+E$85*F$51)</f>
        <v>4669.5767367636217</v>
      </c>
      <c r="G46" s="9">
        <f t="shared" si="42"/>
        <v>5652.9658011285992</v>
      </c>
      <c r="H46" s="9">
        <f t="shared" si="42"/>
        <v>6243.4843256630302</v>
      </c>
      <c r="I46" s="9">
        <f t="shared" si="42"/>
        <v>4089.3497101420235</v>
      </c>
      <c r="J46" s="9">
        <f t="shared" si="42"/>
        <v>3410.7647757470313</v>
      </c>
      <c r="K46" s="9">
        <f t="shared" si="42"/>
        <v>3432.2114449546939</v>
      </c>
      <c r="L46" s="9">
        <f t="shared" si="42"/>
        <v>3406.8355622636841</v>
      </c>
      <c r="M46" s="9">
        <f t="shared" si="42"/>
        <v>2792.7620435900913</v>
      </c>
      <c r="N46" s="9">
        <f t="shared" si="42"/>
        <v>1853.1017900469644</v>
      </c>
      <c r="O46" s="9">
        <f t="shared" si="42"/>
        <v>1501.1749426687134</v>
      </c>
      <c r="P46" s="9">
        <f>IF(P$51&lt;0,(O45+P45)*(P$51+1),(O45+P45)+(O$85+P$85)*P$51)</f>
        <v>2094.7159922922015</v>
      </c>
      <c r="R46" s="22">
        <f t="shared" si="36"/>
        <v>4.1887819631449252E-4</v>
      </c>
      <c r="S46" s="23"/>
      <c r="T46" s="24">
        <f t="shared" si="37"/>
        <v>43.954994711963337</v>
      </c>
      <c r="U46" s="23"/>
      <c r="V46" s="25">
        <f t="shared" si="40"/>
        <v>5172.7555880447671</v>
      </c>
      <c r="W46" s="23"/>
      <c r="X46" s="23"/>
      <c r="Y46" s="23"/>
      <c r="Z46" s="23"/>
      <c r="AA46" s="23"/>
      <c r="AB46" s="23"/>
      <c r="AC46" s="23"/>
      <c r="AD46" s="23"/>
      <c r="AE46" s="23"/>
      <c r="AF46" s="23"/>
    </row>
    <row r="47" spans="2:32" ht="15.95" customHeight="1">
      <c r="B47" s="8">
        <v>2040</v>
      </c>
      <c r="C47" s="9">
        <f t="shared" si="38"/>
        <v>43721.785635006221</v>
      </c>
      <c r="D47" s="9">
        <f>D$87*D$51</f>
        <v>572.67559435531996</v>
      </c>
      <c r="E47" s="9">
        <f>E$87*E$51</f>
        <v>3101.3152946263531</v>
      </c>
      <c r="F47" s="9">
        <f t="shared" ref="F47:O47" si="43">IF(F$51&lt;0,E46*(F$51+1),E46+E$86*F$51)</f>
        <v>4402.2739704673204</v>
      </c>
      <c r="G47" s="9">
        <f t="shared" si="43"/>
        <v>5369.017829680537</v>
      </c>
      <c r="H47" s="9">
        <f t="shared" si="43"/>
        <v>5834.1336715760344</v>
      </c>
      <c r="I47" s="9">
        <f t="shared" si="43"/>
        <v>6509.4214902809244</v>
      </c>
      <c r="J47" s="9">
        <f t="shared" si="43"/>
        <v>3784.0115984514191</v>
      </c>
      <c r="K47" s="9">
        <f t="shared" si="43"/>
        <v>3106.6724945358501</v>
      </c>
      <c r="L47" s="9">
        <f t="shared" si="43"/>
        <v>3168.6895924394462</v>
      </c>
      <c r="M47" s="9">
        <f t="shared" si="43"/>
        <v>3004.2987955408857</v>
      </c>
      <c r="N47" s="9">
        <f t="shared" si="43"/>
        <v>2011.2331427976387</v>
      </c>
      <c r="O47" s="9">
        <f t="shared" si="43"/>
        <v>1255.1992894121533</v>
      </c>
      <c r="P47" s="9">
        <f>IF(P$51&lt;0,(O46+P46)*(P$51+1),(O46+P46)+(O$86+P$86)*P$51)</f>
        <v>1602.8428708423444</v>
      </c>
      <c r="R47" s="22">
        <f t="shared" si="36"/>
        <v>4.4171181468418655E-4</v>
      </c>
      <c r="S47" s="23"/>
      <c r="T47" s="24">
        <f t="shared" si="37"/>
        <v>43.747441404646942</v>
      </c>
      <c r="U47" s="23"/>
      <c r="V47" s="25">
        <f t="shared" si="40"/>
        <v>4879.3602248167299</v>
      </c>
      <c r="W47" s="23"/>
      <c r="X47" s="23"/>
      <c r="Y47" s="23"/>
      <c r="Z47" s="23"/>
      <c r="AA47" s="23"/>
      <c r="AB47" s="23"/>
      <c r="AC47" s="23"/>
      <c r="AD47" s="23"/>
      <c r="AE47" s="23"/>
      <c r="AF47" s="23"/>
    </row>
    <row r="48" spans="2:32" ht="15.95" customHeight="1">
      <c r="B48" s="8">
        <v>2045</v>
      </c>
      <c r="C48" s="9">
        <f t="shared" si="38"/>
        <v>44170.598308423512</v>
      </c>
      <c r="D48" s="9">
        <f>D$88*D$51</f>
        <v>549.4805136401834</v>
      </c>
      <c r="E48" s="9">
        <f>E$88*E$51</f>
        <v>2824.0596500770948</v>
      </c>
      <c r="F48" s="9">
        <f t="shared" ref="F48:O48" si="44">IF(F$51&lt;0,E47*(F$51+1),E47+E$87*F$51)</f>
        <v>4178.4488029235526</v>
      </c>
      <c r="G48" s="9">
        <f t="shared" si="44"/>
        <v>5061.9342620250263</v>
      </c>
      <c r="H48" s="9">
        <f t="shared" si="44"/>
        <v>5541.3030456355746</v>
      </c>
      <c r="I48" s="9">
        <f t="shared" si="44"/>
        <v>6083.0742288346491</v>
      </c>
      <c r="J48" s="9">
        <f t="shared" si="44"/>
        <v>6023.3846856732825</v>
      </c>
      <c r="K48" s="9">
        <f t="shared" si="44"/>
        <v>3446.6418896738228</v>
      </c>
      <c r="L48" s="9">
        <f t="shared" si="44"/>
        <v>2868.1452056295398</v>
      </c>
      <c r="M48" s="9">
        <f t="shared" si="44"/>
        <v>2794.29111033565</v>
      </c>
      <c r="N48" s="9">
        <f t="shared" si="44"/>
        <v>2163.573270528781</v>
      </c>
      <c r="O48" s="9">
        <f t="shared" si="44"/>
        <v>1362.3096287753237</v>
      </c>
      <c r="P48" s="9">
        <f>IF(P$51&lt;0,(O47+P47)*(P$51+1),(O47+P47)+(O$87+P$87)*P$51)</f>
        <v>1273.9520146710365</v>
      </c>
      <c r="R48" s="22">
        <f t="shared" si="36"/>
        <v>4.6477268392133906E-4</v>
      </c>
      <c r="S48" s="23"/>
      <c r="T48" s="24">
        <f t="shared" si="37"/>
        <v>44.078701478759207</v>
      </c>
      <c r="U48" s="23"/>
      <c r="V48" s="25">
        <f t="shared" si="40"/>
        <v>4537.6583692168642</v>
      </c>
      <c r="W48" s="23"/>
      <c r="X48" s="23"/>
      <c r="Y48" s="23"/>
      <c r="Z48" s="23"/>
      <c r="AA48" s="23"/>
      <c r="AB48" s="23"/>
      <c r="AC48" s="23"/>
      <c r="AD48" s="23"/>
      <c r="AE48" s="23"/>
      <c r="AF48" s="23"/>
    </row>
    <row r="49" spans="2:32" ht="15.95" customHeight="1">
      <c r="B49" s="207">
        <v>2050</v>
      </c>
      <c r="C49" s="10">
        <f t="shared" si="38"/>
        <v>44330.2463558155</v>
      </c>
      <c r="D49" s="10">
        <f>D$89*D$51</f>
        <v>529.0815259192907</v>
      </c>
      <c r="E49" s="10">
        <f>E$89*E$51</f>
        <v>2709.7515535741031</v>
      </c>
      <c r="F49" s="10">
        <f t="shared" ref="F49:O49" si="45">IF(F$51&lt;0,E48*(F$51+1),E48+E$88*F$51)</f>
        <v>3804.8980974928677</v>
      </c>
      <c r="G49" s="10">
        <f t="shared" si="45"/>
        <v>4804.5948532602324</v>
      </c>
      <c r="H49" s="10">
        <f t="shared" si="45"/>
        <v>5224.4268098888224</v>
      </c>
      <c r="I49" s="10">
        <f t="shared" si="45"/>
        <v>5778.0658057416003</v>
      </c>
      <c r="J49" s="10">
        <f t="shared" si="45"/>
        <v>5628.8713530816622</v>
      </c>
      <c r="K49" s="10">
        <f t="shared" si="45"/>
        <v>5486.3600269506042</v>
      </c>
      <c r="L49" s="10">
        <f t="shared" si="45"/>
        <v>3182.0120816651588</v>
      </c>
      <c r="M49" s="10">
        <f t="shared" si="45"/>
        <v>2529.2577317655309</v>
      </c>
      <c r="N49" s="10">
        <f t="shared" si="45"/>
        <v>2012.3343142072385</v>
      </c>
      <c r="O49" s="10">
        <f t="shared" si="45"/>
        <v>1465.4972793966317</v>
      </c>
      <c r="P49" s="10">
        <f>IF(P$51&lt;0,(O48+P48)*(P$51+1),(O48+P48)+(O$88+P$88)*P$51)</f>
        <v>1175.09492287175</v>
      </c>
      <c r="R49" s="17">
        <f t="shared" si="36"/>
        <v>4.8631228695025037E-4</v>
      </c>
      <c r="S49" s="23"/>
      <c r="T49" s="26">
        <f t="shared" si="37"/>
        <v>44.663221567082523</v>
      </c>
      <c r="U49" s="23"/>
      <c r="V49" s="27">
        <f t="shared" si="40"/>
        <v>4296.3370636056625</v>
      </c>
      <c r="W49" s="23"/>
      <c r="X49" s="23"/>
      <c r="Y49" s="23"/>
      <c r="Z49" s="23"/>
      <c r="AA49" s="23"/>
      <c r="AB49" s="23"/>
      <c r="AC49" s="23"/>
      <c r="AD49" s="23"/>
      <c r="AE49" s="23"/>
      <c r="AF49" s="23"/>
    </row>
    <row r="50" spans="2:32" ht="15.95" customHeight="1">
      <c r="B50" s="28" t="s">
        <v>606</v>
      </c>
      <c r="C50" s="19"/>
      <c r="D50" s="273" t="s">
        <v>22</v>
      </c>
      <c r="E50" s="273"/>
      <c r="F50" s="274" t="s">
        <v>23</v>
      </c>
      <c r="G50" s="273"/>
      <c r="H50" s="273"/>
      <c r="I50" s="275"/>
      <c r="J50" s="274" t="s">
        <v>24</v>
      </c>
      <c r="K50" s="273"/>
      <c r="L50" s="273"/>
      <c r="M50" s="273"/>
      <c r="N50" s="273"/>
      <c r="O50" s="273"/>
      <c r="P50" s="27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</row>
    <row r="51" spans="2:32" ht="15.95" customHeight="1">
      <c r="B51" s="29" t="s">
        <v>608</v>
      </c>
      <c r="C51" s="2"/>
      <c r="D51" s="30">
        <f>D$18*2.5</f>
        <v>1.3162420534970962E-4</v>
      </c>
      <c r="E51" s="30">
        <f>E$18*2.5</f>
        <v>6.3357368168914146E-4</v>
      </c>
      <c r="F51" s="30">
        <f>F$18*2.5</f>
        <v>2.2004968140616575E-4</v>
      </c>
      <c r="G51" s="30">
        <f>G$18*2.5</f>
        <v>1.2585475855927898E-4</v>
      </c>
      <c r="H51" s="30">
        <f>H$18</f>
        <v>3.0931801456278058E-5</v>
      </c>
      <c r="I51" s="30">
        <f t="shared" ref="I51:P51" si="46">I$18</f>
        <v>4.2589687628182742E-5</v>
      </c>
      <c r="J51" s="31">
        <f t="shared" si="46"/>
        <v>-7.4666666666666659E-2</v>
      </c>
      <c r="K51" s="31">
        <f t="shared" si="46"/>
        <v>-8.9156626506024073E-2</v>
      </c>
      <c r="L51" s="31">
        <f t="shared" si="46"/>
        <v>-7.677902621722843E-2</v>
      </c>
      <c r="M51" s="31">
        <f t="shared" si="46"/>
        <v>-0.11815561959654175</v>
      </c>
      <c r="N51" s="31">
        <f t="shared" si="46"/>
        <v>-0.27984084880636606</v>
      </c>
      <c r="O51" s="31">
        <f t="shared" si="46"/>
        <v>-0.32264957264957261</v>
      </c>
      <c r="P51" s="31">
        <f t="shared" si="46"/>
        <v>-0.55425709515859767</v>
      </c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</row>
    <row r="52" spans="2:32" ht="15.95" customHeight="1">
      <c r="L52" s="32"/>
      <c r="S52" s="23"/>
      <c r="T52" s="23"/>
      <c r="U52" s="23"/>
      <c r="V52" s="23"/>
      <c r="W52" s="23"/>
      <c r="X52" s="23"/>
      <c r="Y52" s="23"/>
    </row>
    <row r="53" spans="2:32" ht="15.75" customHeight="1">
      <c r="B53" s="2" t="s">
        <v>614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R53" s="2"/>
      <c r="S53" s="9"/>
      <c r="T53" s="2"/>
      <c r="U53" s="23"/>
      <c r="V53" s="33"/>
      <c r="W53" s="9"/>
      <c r="X53" s="9"/>
      <c r="Y53" s="9"/>
      <c r="Z53" s="9"/>
      <c r="AA53" s="9"/>
      <c r="AB53" s="9"/>
      <c r="AC53" s="9"/>
      <c r="AD53" s="9"/>
      <c r="AE53" s="9"/>
      <c r="AF53" s="9"/>
    </row>
    <row r="54" spans="2:32" ht="15.95" customHeight="1">
      <c r="B54" s="8">
        <v>2020</v>
      </c>
      <c r="C54" s="9">
        <f>SUM(D54:P54)</f>
        <v>38272.480468438116</v>
      </c>
      <c r="D54" s="9">
        <f>D$83*D$62</f>
        <v>324.51732241946837</v>
      </c>
      <c r="E54" s="9">
        <f>E$83*E$62</f>
        <v>1322.0291875450891</v>
      </c>
      <c r="F54" s="9">
        <f t="shared" ref="F54:O54" si="47">IF(F$62&lt;0,E$7*(F$62+1),E$7+E$82*F$62)</f>
        <v>2003.0048805064696</v>
      </c>
      <c r="G54" s="9">
        <f t="shared" si="47"/>
        <v>2708.6367590770951</v>
      </c>
      <c r="H54" s="9">
        <f t="shared" si="47"/>
        <v>3852.9440271186695</v>
      </c>
      <c r="I54" s="9">
        <f t="shared" si="47"/>
        <v>4485.6583453415997</v>
      </c>
      <c r="J54" s="9">
        <f t="shared" si="47"/>
        <v>4791.8935319409256</v>
      </c>
      <c r="K54" s="9">
        <f t="shared" si="47"/>
        <v>3560.2587599627464</v>
      </c>
      <c r="L54" s="9">
        <f t="shared" si="47"/>
        <v>3988.5876182499433</v>
      </c>
      <c r="M54" s="9">
        <f t="shared" si="47"/>
        <v>3725.4661791590493</v>
      </c>
      <c r="N54" s="9">
        <f t="shared" si="47"/>
        <v>3829.7713097713095</v>
      </c>
      <c r="O54" s="9">
        <f t="shared" si="47"/>
        <v>2103.7027072473516</v>
      </c>
      <c r="P54" s="9">
        <f>IF(P$62&lt;0,(O$7+P$7)*(P$62+1),(O$7+P$7)+(O$82+P$82)*P$62)</f>
        <v>1576.0098400984011</v>
      </c>
      <c r="R54" s="22">
        <f>C54/C83</f>
        <v>3.4714304838253767E-4</v>
      </c>
      <c r="S54" s="23"/>
      <c r="T54" s="24">
        <f t="shared" ref="T54:T60" si="48">SUMPRODUCT(D54:P54,D$92:P$92)/C54</f>
        <v>49.759262532799696</v>
      </c>
      <c r="U54" s="23"/>
      <c r="V54" s="25">
        <f>SUM(D54:G54)-SUM(D$7:F$7)</f>
        <v>2118.1881495481221</v>
      </c>
      <c r="W54" s="23"/>
      <c r="X54" s="23"/>
      <c r="Y54" s="23"/>
      <c r="Z54" s="23"/>
      <c r="AA54" s="23"/>
      <c r="AB54" s="23"/>
      <c r="AC54" s="23"/>
      <c r="AD54" s="23"/>
      <c r="AE54" s="23"/>
      <c r="AF54" s="23"/>
    </row>
    <row r="55" spans="2:32" ht="15.95" customHeight="1">
      <c r="B55" s="8">
        <v>2025</v>
      </c>
      <c r="C55" s="9">
        <f t="shared" ref="C55:C60" si="49">SUM(D55:P55)</f>
        <v>34511.405017150486</v>
      </c>
      <c r="D55" s="9">
        <f>D$84*D$62</f>
        <v>307.70962347806346</v>
      </c>
      <c r="E55" s="9">
        <f>E$84*E$62</f>
        <v>1235.0798424511092</v>
      </c>
      <c r="F55" s="9">
        <f t="shared" ref="F55:O55" si="50">IF(F$62&lt;0,E54*(F$62+1),E54+E$83*F$62)</f>
        <v>1805.122659360758</v>
      </c>
      <c r="G55" s="9">
        <f t="shared" si="50"/>
        <v>2306.399823533081</v>
      </c>
      <c r="H55" s="9">
        <f t="shared" si="50"/>
        <v>2994.91270667345</v>
      </c>
      <c r="I55" s="9">
        <f t="shared" si="50"/>
        <v>4261.1792571007554</v>
      </c>
      <c r="J55" s="9">
        <f t="shared" si="50"/>
        <v>5100.3009659986237</v>
      </c>
      <c r="K55" s="9">
        <f t="shared" si="50"/>
        <v>4892.6896336981245</v>
      </c>
      <c r="L55" s="9">
        <f t="shared" si="50"/>
        <v>3785.8600285547755</v>
      </c>
      <c r="M55" s="9">
        <f t="shared" si="50"/>
        <v>3014.066587099941</v>
      </c>
      <c r="N55" s="9">
        <f t="shared" si="50"/>
        <v>2331.320831448802</v>
      </c>
      <c r="O55" s="9">
        <f t="shared" si="50"/>
        <v>1483.7385400560111</v>
      </c>
      <c r="P55" s="9">
        <f>IF(P$62&lt;0,(O54+P54)*(P$62+1),(O54+P54)+(O$83+P$83)*P$62)</f>
        <v>993.02451769699655</v>
      </c>
      <c r="R55" s="22">
        <f t="shared" ref="R55:R60" si="51">C55/C84</f>
        <v>3.1816144555566595E-4</v>
      </c>
      <c r="S55" s="23"/>
      <c r="T55" s="24">
        <f t="shared" si="48"/>
        <v>48.70905543354273</v>
      </c>
      <c r="U55" s="23"/>
      <c r="V55" s="25">
        <f t="shared" ref="V55:V60" si="52">SUM(D55:G55)-SUM(D54:F54)</f>
        <v>2004.7605583519844</v>
      </c>
      <c r="W55" s="23"/>
      <c r="X55" s="23"/>
      <c r="Y55" s="23"/>
      <c r="Z55" s="23"/>
      <c r="AA55" s="23"/>
      <c r="AB55" s="23"/>
      <c r="AC55" s="23"/>
      <c r="AD55" s="23"/>
      <c r="AE55" s="23"/>
      <c r="AF55" s="23"/>
    </row>
    <row r="56" spans="2:32" ht="15.95" customHeight="1">
      <c r="B56" s="8">
        <v>2030</v>
      </c>
      <c r="C56" s="9">
        <f t="shared" si="49"/>
        <v>32643.336989074207</v>
      </c>
      <c r="D56" s="9">
        <f>D$85*D$62</f>
        <v>289.57481789851425</v>
      </c>
      <c r="E56" s="9">
        <f>E$85*E$62</f>
        <v>1172.8768368881945</v>
      </c>
      <c r="F56" s="9">
        <f t="shared" ref="F56:O56" si="53">IF(F$62&lt;0,E55*(F$62+1),E55+E$84*F$62)</f>
        <v>1686.4004446589981</v>
      </c>
      <c r="G56" s="9">
        <f t="shared" si="53"/>
        <v>2112.2430391072394</v>
      </c>
      <c r="H56" s="9">
        <f t="shared" si="53"/>
        <v>2577.0827868019423</v>
      </c>
      <c r="I56" s="9">
        <f t="shared" si="53"/>
        <v>3355.8973796122077</v>
      </c>
      <c r="J56" s="9">
        <f t="shared" si="53"/>
        <v>4799.8663436025308</v>
      </c>
      <c r="K56" s="9">
        <f t="shared" si="53"/>
        <v>5186.1361809012824</v>
      </c>
      <c r="L56" s="9">
        <f t="shared" si="53"/>
        <v>5144.6503762326392</v>
      </c>
      <c r="M56" s="9">
        <f t="shared" si="53"/>
        <v>2860.8708915640827</v>
      </c>
      <c r="N56" s="9">
        <f t="shared" si="53"/>
        <v>1886.1414609502749</v>
      </c>
      <c r="O56" s="9">
        <f t="shared" si="53"/>
        <v>903.20551465579956</v>
      </c>
      <c r="P56" s="9">
        <f>IF(P$62&lt;0,(O55+P55)*(P$62+1),(O55+P55)+(O$84+P$84)*P$62)</f>
        <v>668.39091620050419</v>
      </c>
      <c r="R56" s="22">
        <f t="shared" si="51"/>
        <v>3.0820831563637015E-4</v>
      </c>
      <c r="S56" s="23"/>
      <c r="T56" s="24">
        <f t="shared" si="48"/>
        <v>48.674884155531643</v>
      </c>
      <c r="U56" s="23"/>
      <c r="V56" s="25">
        <f t="shared" si="52"/>
        <v>1913.1830132630153</v>
      </c>
      <c r="W56" s="23"/>
      <c r="X56" s="23"/>
      <c r="Y56" s="23"/>
      <c r="Z56" s="23"/>
      <c r="AA56" s="23"/>
      <c r="AB56" s="23"/>
      <c r="AC56" s="23"/>
      <c r="AD56" s="23"/>
      <c r="AE56" s="23"/>
      <c r="AF56" s="23"/>
    </row>
    <row r="57" spans="2:32" ht="15.95" customHeight="1">
      <c r="B57" s="8">
        <v>2035</v>
      </c>
      <c r="C57" s="9">
        <f t="shared" si="49"/>
        <v>31201.363256551012</v>
      </c>
      <c r="D57" s="9">
        <f>D$86*D$62</f>
        <v>274.65445348520711</v>
      </c>
      <c r="E57" s="9">
        <f>E$86*E$62</f>
        <v>1105.7372992601313</v>
      </c>
      <c r="F57" s="9">
        <f t="shared" ref="F57:O57" si="54">IF(F$62&lt;0,E56*(F$62+1),E56+E$85*F$62)</f>
        <v>1601.4673313209607</v>
      </c>
      <c r="G57" s="9">
        <f t="shared" si="54"/>
        <v>1973.6918806844028</v>
      </c>
      <c r="H57" s="9">
        <f t="shared" si="54"/>
        <v>2386.2583703189134</v>
      </c>
      <c r="I57" s="9">
        <f t="shared" si="54"/>
        <v>2918.4850661671308</v>
      </c>
      <c r="J57" s="9">
        <f t="shared" si="54"/>
        <v>3832.3579092027526</v>
      </c>
      <c r="K57" s="9">
        <f t="shared" si="54"/>
        <v>4875.1219048690664</v>
      </c>
      <c r="L57" s="9">
        <f t="shared" si="54"/>
        <v>5400.7911993566604</v>
      </c>
      <c r="M57" s="9">
        <f t="shared" si="54"/>
        <v>3887.6715984285142</v>
      </c>
      <c r="N57" s="9">
        <f t="shared" si="54"/>
        <v>1790.274715926796</v>
      </c>
      <c r="O57" s="9">
        <f t="shared" si="54"/>
        <v>730.73313032275667</v>
      </c>
      <c r="P57" s="9">
        <f>IF(P$62&lt;0,(O56+P56)*(P$62+1),(O56+P56)+(O$85+P$85)*P$62)</f>
        <v>424.11839720771599</v>
      </c>
      <c r="R57" s="22">
        <f t="shared" si="51"/>
        <v>3.0363782860900503E-4</v>
      </c>
      <c r="S57" s="23"/>
      <c r="T57" s="24">
        <f t="shared" si="48"/>
        <v>49.164109608775803</v>
      </c>
      <c r="U57" s="23"/>
      <c r="V57" s="25">
        <f t="shared" si="52"/>
        <v>1806.6988653049957</v>
      </c>
      <c r="W57" s="23"/>
      <c r="X57" s="23"/>
      <c r="Y57" s="23"/>
      <c r="Z57" s="23"/>
      <c r="AA57" s="23"/>
      <c r="AB57" s="23"/>
      <c r="AC57" s="23"/>
      <c r="AD57" s="23"/>
      <c r="AE57" s="23"/>
      <c r="AF57" s="23"/>
    </row>
    <row r="58" spans="2:32" ht="15.95" customHeight="1">
      <c r="B58" s="8">
        <v>2040</v>
      </c>
      <c r="C58" s="9">
        <f t="shared" si="49"/>
        <v>29496.890663490314</v>
      </c>
      <c r="D58" s="9">
        <f>D$87*D$62</f>
        <v>250.0985832412461</v>
      </c>
      <c r="E58" s="9">
        <f>E$87*E$62</f>
        <v>1049.5182093246585</v>
      </c>
      <c r="F58" s="9">
        <f t="shared" ref="F58:O58" si="55">IF(F$62&lt;0,E57*(F$62+1),E57+E$86*F$62)</f>
        <v>1509.7937874588379</v>
      </c>
      <c r="G58" s="9">
        <f t="shared" si="55"/>
        <v>1874.5847404260949</v>
      </c>
      <c r="H58" s="9">
        <f t="shared" si="55"/>
        <v>2230.1563086929164</v>
      </c>
      <c r="I58" s="9">
        <f t="shared" si="55"/>
        <v>2731.8976055089856</v>
      </c>
      <c r="J58" s="9">
        <f t="shared" si="55"/>
        <v>3369.1944050419802</v>
      </c>
      <c r="K58" s="9">
        <f t="shared" si="55"/>
        <v>3898.9389037051733</v>
      </c>
      <c r="L58" s="9">
        <f t="shared" si="55"/>
        <v>5063.4063466271828</v>
      </c>
      <c r="M58" s="9">
        <f t="shared" si="55"/>
        <v>4081.2302137734437</v>
      </c>
      <c r="N58" s="9">
        <f t="shared" si="55"/>
        <v>2432.8256780186753</v>
      </c>
      <c r="O58" s="9">
        <f t="shared" si="55"/>
        <v>693.59222221209654</v>
      </c>
      <c r="P58" s="9">
        <f>IF(P$62&lt;0,(O57+P57)*(P$62+1),(O57+P57)+(O$86+P$86)*P$62)</f>
        <v>311.653659459023</v>
      </c>
      <c r="R58" s="22">
        <f t="shared" si="51"/>
        <v>2.9800075439003718E-4</v>
      </c>
      <c r="S58" s="23"/>
      <c r="T58" s="24">
        <f t="shared" si="48"/>
        <v>49.667282131124118</v>
      </c>
      <c r="U58" s="23"/>
      <c r="V58" s="25">
        <f t="shared" si="52"/>
        <v>1702.1362363845383</v>
      </c>
      <c r="W58" s="23"/>
      <c r="X58" s="23"/>
      <c r="Y58" s="23"/>
      <c r="Z58" s="23"/>
      <c r="AA58" s="23"/>
      <c r="AB58" s="23"/>
      <c r="AC58" s="23"/>
      <c r="AD58" s="23"/>
      <c r="AE58" s="23"/>
      <c r="AF58" s="23"/>
    </row>
    <row r="59" spans="2:32" ht="15.95" customHeight="1">
      <c r="B59" s="8">
        <v>2045</v>
      </c>
      <c r="C59" s="9">
        <f t="shared" si="49"/>
        <v>27348.331004869367</v>
      </c>
      <c r="D59" s="9">
        <f>D$88*D$62</f>
        <v>239.96883983642641</v>
      </c>
      <c r="E59" s="9">
        <f>E$88*E$62</f>
        <v>955.691938872028</v>
      </c>
      <c r="F59" s="9">
        <f t="shared" ref="F59:O59" si="56">IF(F$62&lt;0,E58*(F$62+1),E58+E$87*F$62)</f>
        <v>1433.0312211802466</v>
      </c>
      <c r="G59" s="9">
        <f t="shared" si="56"/>
        <v>1767.3776090905178</v>
      </c>
      <c r="H59" s="9">
        <f t="shared" si="56"/>
        <v>2118.4747263000077</v>
      </c>
      <c r="I59" s="9">
        <f t="shared" si="56"/>
        <v>2553.7050084103389</v>
      </c>
      <c r="J59" s="9">
        <f t="shared" si="56"/>
        <v>3188.2689770116554</v>
      </c>
      <c r="K59" s="9">
        <f t="shared" si="56"/>
        <v>3432.1943376260183</v>
      </c>
      <c r="L59" s="9">
        <f t="shared" si="56"/>
        <v>4065.5787980460609</v>
      </c>
      <c r="M59" s="9">
        <f t="shared" si="56"/>
        <v>3826.2777070383067</v>
      </c>
      <c r="N59" s="9">
        <f t="shared" si="56"/>
        <v>2553.9507158956476</v>
      </c>
      <c r="O59" s="9">
        <f t="shared" si="56"/>
        <v>942.5307486388142</v>
      </c>
      <c r="P59" s="9">
        <f>IF(P$62&lt;0,(O58+P58)*(P$62+1),(O58+P58)+(O$87+P$87)*P$62)</f>
        <v>271.28037692330093</v>
      </c>
      <c r="R59" s="22">
        <f t="shared" si="51"/>
        <v>2.8776511273740919E-4</v>
      </c>
      <c r="S59" s="23"/>
      <c r="T59" s="24">
        <f t="shared" si="48"/>
        <v>49.843891829084264</v>
      </c>
      <c r="U59" s="23"/>
      <c r="V59" s="25">
        <f t="shared" si="52"/>
        <v>1586.6590289544765</v>
      </c>
      <c r="W59" s="23"/>
      <c r="X59" s="23"/>
      <c r="Y59" s="23"/>
      <c r="Z59" s="23"/>
      <c r="AA59" s="23"/>
      <c r="AB59" s="23"/>
      <c r="AC59" s="23"/>
      <c r="AD59" s="23"/>
      <c r="AE59" s="23"/>
      <c r="AF59" s="23"/>
    </row>
    <row r="60" spans="2:32" ht="15.95" customHeight="1">
      <c r="B60" s="207">
        <v>2050</v>
      </c>
      <c r="C60" s="10">
        <f t="shared" si="49"/>
        <v>25160.770958810601</v>
      </c>
      <c r="D60" s="10">
        <f>D$89*D$62</f>
        <v>231.0602046879458</v>
      </c>
      <c r="E60" s="10">
        <f>E$89*E$62</f>
        <v>917.00885851544535</v>
      </c>
      <c r="F60" s="10">
        <f t="shared" ref="F60:O60" si="57">IF(F$62&lt;0,E59*(F$62+1),E59+E$88*F$62)</f>
        <v>1304.9191277159125</v>
      </c>
      <c r="G60" s="10">
        <f t="shared" si="57"/>
        <v>1677.5284186156864</v>
      </c>
      <c r="H60" s="10">
        <f t="shared" si="57"/>
        <v>1997.4049215527773</v>
      </c>
      <c r="I60" s="10">
        <f t="shared" si="57"/>
        <v>2426.1959108968244</v>
      </c>
      <c r="J60" s="10">
        <f t="shared" si="57"/>
        <v>2980.9709833527427</v>
      </c>
      <c r="K60" s="10">
        <f t="shared" si="57"/>
        <v>3252.07379826743</v>
      </c>
      <c r="L60" s="10">
        <f t="shared" si="57"/>
        <v>3589.9333328751932</v>
      </c>
      <c r="M60" s="10">
        <f t="shared" si="57"/>
        <v>3072.2467161920281</v>
      </c>
      <c r="N60" s="10">
        <f t="shared" si="57"/>
        <v>2394.406631639356</v>
      </c>
      <c r="O60" s="10">
        <f t="shared" si="57"/>
        <v>989.45728088508031</v>
      </c>
      <c r="P60" s="10">
        <f>IF(P$62&lt;0,(O59+P59)*(P$62+1),(O59+P59)+(O$88+P$88)*P$62)</f>
        <v>327.56477361417967</v>
      </c>
      <c r="R60" s="17">
        <f t="shared" si="51"/>
        <v>2.7601904054849535E-4</v>
      </c>
      <c r="S60" s="23"/>
      <c r="T60" s="26">
        <f t="shared" si="48"/>
        <v>49.681616784703188</v>
      </c>
      <c r="U60" s="23"/>
      <c r="V60" s="27">
        <f t="shared" si="52"/>
        <v>1501.8246096462894</v>
      </c>
      <c r="W60" s="23"/>
      <c r="X60" s="23"/>
      <c r="Y60" s="23"/>
      <c r="Z60" s="23"/>
      <c r="AA60" s="23"/>
      <c r="AB60" s="23"/>
      <c r="AC60" s="23"/>
      <c r="AD60" s="23"/>
      <c r="AE60" s="23"/>
      <c r="AF60" s="23"/>
    </row>
    <row r="61" spans="2:32" ht="15.95" customHeight="1">
      <c r="B61" s="28" t="s">
        <v>606</v>
      </c>
      <c r="C61" s="19"/>
      <c r="D61" s="273" t="s">
        <v>22</v>
      </c>
      <c r="E61" s="273"/>
      <c r="F61" s="274" t="s">
        <v>25</v>
      </c>
      <c r="G61" s="273"/>
      <c r="H61" s="273"/>
      <c r="I61" s="273"/>
      <c r="J61" s="273"/>
      <c r="K61" s="273"/>
      <c r="L61" s="275"/>
      <c r="M61" s="273" t="s">
        <v>24</v>
      </c>
      <c r="N61" s="273"/>
      <c r="O61" s="273"/>
      <c r="P61" s="27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</row>
    <row r="62" spans="2:32" ht="15.95" customHeight="1">
      <c r="B62" s="29" t="s">
        <v>608</v>
      </c>
      <c r="C62" s="2"/>
      <c r="D62" s="30">
        <v>5.7482853473571319E-5</v>
      </c>
      <c r="E62" s="30">
        <v>2.1440809872952046E-4</v>
      </c>
      <c r="F62" s="30">
        <v>7.8348612705729756E-5</v>
      </c>
      <c r="G62" s="30">
        <v>4.9143703350219911E-5</v>
      </c>
      <c r="H62" s="30">
        <v>4.3787602890982484E-5</v>
      </c>
      <c r="I62" s="30">
        <v>5.5353929489096446E-5</v>
      </c>
      <c r="J62" s="30">
        <v>7.3327194206124636E-5</v>
      </c>
      <c r="K62" s="30">
        <v>1.0299938214044116E-5</v>
      </c>
      <c r="L62" s="30">
        <v>2.6001767625264694E-5</v>
      </c>
      <c r="M62" s="31">
        <v>-0.244327347026562</v>
      </c>
      <c r="N62" s="31">
        <v>-0.37422037422037424</v>
      </c>
      <c r="O62" s="31">
        <v>-0.61257777030435512</v>
      </c>
      <c r="P62" s="31">
        <v>-0.73013530135301352</v>
      </c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</row>
    <row r="63" spans="2:32" ht="15.95" customHeight="1">
      <c r="L63" s="32"/>
      <c r="S63" s="23"/>
      <c r="T63" s="23"/>
      <c r="U63" s="23"/>
      <c r="V63" s="23"/>
      <c r="W63" s="23"/>
      <c r="X63" s="23"/>
      <c r="Y63" s="23"/>
    </row>
    <row r="64" spans="2:32" ht="15.75" customHeight="1">
      <c r="B64" s="2" t="s">
        <v>615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R64" s="2"/>
      <c r="S64" s="9"/>
      <c r="T64" s="2"/>
      <c r="U64" s="9"/>
      <c r="V64" s="10"/>
      <c r="W64" s="9"/>
      <c r="X64" s="9"/>
      <c r="Y64" s="9"/>
      <c r="Z64" s="9"/>
      <c r="AA64" s="9"/>
      <c r="AB64" s="9"/>
      <c r="AC64" s="9"/>
      <c r="AD64" s="9"/>
      <c r="AE64" s="9"/>
      <c r="AF64" s="9"/>
    </row>
    <row r="65" spans="1:32" ht="15.95" customHeight="1">
      <c r="B65" s="8">
        <v>2020</v>
      </c>
      <c r="C65" s="9">
        <f>SUM(D65:P65)</f>
        <v>45781.619478483735</v>
      </c>
      <c r="D65" s="9">
        <f>D$83*D$73</f>
        <v>397.31114289339212</v>
      </c>
      <c r="E65" s="9">
        <f>E$83*E$73</f>
        <v>1732.9144597894124</v>
      </c>
      <c r="F65" s="9">
        <f t="shared" ref="F65:O65" si="58">IF(F$73&lt;0,E$7*(F$73+1),E$7+E$82*F$73)</f>
        <v>2821.1479686994576</v>
      </c>
      <c r="G65" s="9">
        <f t="shared" si="58"/>
        <v>3448.6010362657325</v>
      </c>
      <c r="H65" s="9">
        <f t="shared" si="58"/>
        <v>4204.1174859683615</v>
      </c>
      <c r="I65" s="9">
        <f t="shared" si="58"/>
        <v>4896.8408426504793</v>
      </c>
      <c r="J65" s="9">
        <f t="shared" si="58"/>
        <v>5162.3569522048574</v>
      </c>
      <c r="K65" s="9">
        <f t="shared" si="58"/>
        <v>4755.9008799247895</v>
      </c>
      <c r="L65" s="9">
        <f t="shared" si="58"/>
        <v>4871.1292065485468</v>
      </c>
      <c r="M65" s="9">
        <f t="shared" si="58"/>
        <v>4661.67544519689</v>
      </c>
      <c r="N65" s="9">
        <f t="shared" si="58"/>
        <v>4075.9356766756791</v>
      </c>
      <c r="O65" s="9">
        <f t="shared" si="58"/>
        <v>2736.046511627907</v>
      </c>
      <c r="P65" s="9">
        <f>IF(P$73&lt;0,(O$7+P$7)*(P$73+1),(O$7+P$7)+(O$82+P$82)*P$73)</f>
        <v>2017.6418700382242</v>
      </c>
      <c r="R65" s="22">
        <f t="shared" ref="R65:R71" si="59">C65/C83</f>
        <v>4.152532250622319E-4</v>
      </c>
      <c r="S65" s="23"/>
      <c r="T65" s="24">
        <f t="shared" ref="T65:T71" si="60">SUMPRODUCT(D65:P65,D$92:P$92)/C65</f>
        <v>49.685477538726062</v>
      </c>
      <c r="U65" s="23"/>
      <c r="V65" s="25">
        <f>SUM(D65:G65)-SUM(D$7:F$7)</f>
        <v>4159.9746076479951</v>
      </c>
      <c r="W65" s="23"/>
      <c r="X65" s="23"/>
      <c r="Y65" s="23"/>
      <c r="Z65" s="23"/>
      <c r="AA65" s="23"/>
      <c r="AB65" s="23"/>
      <c r="AC65" s="23"/>
      <c r="AD65" s="23"/>
      <c r="AE65" s="23"/>
      <c r="AF65" s="23"/>
    </row>
    <row r="66" spans="1:32" ht="15.95" customHeight="1">
      <c r="B66" s="8">
        <v>2025</v>
      </c>
      <c r="C66" s="9">
        <f t="shared" ref="C66:C71" si="61">SUM(D66:P66)</f>
        <v>47663.510428888287</v>
      </c>
      <c r="D66" s="9">
        <f>D$84*D$73</f>
        <v>376.73323960604205</v>
      </c>
      <c r="E66" s="9">
        <f>E$84*E$73</f>
        <v>1618.9413502680022</v>
      </c>
      <c r="F66" s="9">
        <f t="shared" ref="F66:O66" si="62">IF(F$73&lt;0,E65*(F$73+1),E65+E$83*F$73)</f>
        <v>3051.6009692370426</v>
      </c>
      <c r="G66" s="9">
        <f t="shared" si="62"/>
        <v>3829.1114002131608</v>
      </c>
      <c r="H66" s="9">
        <f t="shared" si="62"/>
        <v>4046.177104814451</v>
      </c>
      <c r="I66" s="9">
        <f t="shared" si="62"/>
        <v>4972.8298405048463</v>
      </c>
      <c r="J66" s="9">
        <f t="shared" si="62"/>
        <v>5826.9075492892307</v>
      </c>
      <c r="K66" s="9">
        <f t="shared" si="62"/>
        <v>6598.3815108855579</v>
      </c>
      <c r="L66" s="9">
        <f t="shared" si="62"/>
        <v>5936.0290930011834</v>
      </c>
      <c r="M66" s="9">
        <f t="shared" si="62"/>
        <v>4606.0088057908251</v>
      </c>
      <c r="N66" s="9">
        <f t="shared" si="62"/>
        <v>3104.6877876080039</v>
      </c>
      <c r="O66" s="9">
        <f t="shared" si="62"/>
        <v>2053.7660386350321</v>
      </c>
      <c r="P66" s="9">
        <f>IF(P$73&lt;0,(O65+P65)*(P$73+1),(O65+P65)+(O$83+P$83)*P$73)</f>
        <v>1642.3357390349029</v>
      </c>
      <c r="R66" s="22">
        <f t="shared" si="59"/>
        <v>4.3941101125197728E-4</v>
      </c>
      <c r="S66" s="23"/>
      <c r="T66" s="24">
        <f t="shared" si="60"/>
        <v>48.858448256954425</v>
      </c>
      <c r="U66" s="23"/>
      <c r="V66" s="25">
        <f t="shared" ref="V66:V71" si="63">SUM(D66:G66)-SUM(D65:F65)</f>
        <v>3925.0133879419864</v>
      </c>
      <c r="W66" s="23"/>
      <c r="X66" s="23"/>
      <c r="Y66" s="23"/>
      <c r="Z66" s="23"/>
      <c r="AA66" s="23"/>
      <c r="AB66" s="23"/>
      <c r="AC66" s="23"/>
      <c r="AD66" s="23"/>
      <c r="AE66" s="23"/>
      <c r="AF66" s="23"/>
    </row>
    <row r="67" spans="1:32" ht="15.95" customHeight="1">
      <c r="B67" s="8">
        <v>2030</v>
      </c>
      <c r="C67" s="9">
        <f t="shared" si="61"/>
        <v>50210.870875985915</v>
      </c>
      <c r="D67" s="9">
        <f>D$85*D$73</f>
        <v>354.53054091112665</v>
      </c>
      <c r="E67" s="9">
        <f>E$85*E$73</f>
        <v>1537.405716412218</v>
      </c>
      <c r="F67" s="9">
        <f t="shared" ref="F67:O67" si="64">IF(F$73&lt;0,E66*(F$73+1),E66+E$84*F$73)</f>
        <v>2850.8983612590582</v>
      </c>
      <c r="G67" s="9">
        <f t="shared" si="64"/>
        <v>4071.9413505528328</v>
      </c>
      <c r="H67" s="9">
        <f t="shared" si="64"/>
        <v>4394.1384741655766</v>
      </c>
      <c r="I67" s="9">
        <f t="shared" si="64"/>
        <v>4725.9160335161996</v>
      </c>
      <c r="J67" s="9">
        <f t="shared" si="64"/>
        <v>5787.9619312732493</v>
      </c>
      <c r="K67" s="9">
        <f t="shared" si="64"/>
        <v>7049.7869508832582</v>
      </c>
      <c r="L67" s="9">
        <f t="shared" si="64"/>
        <v>7916.3970642039658</v>
      </c>
      <c r="M67" s="9">
        <f t="shared" si="64"/>
        <v>5612.9495060482723</v>
      </c>
      <c r="N67" s="9">
        <f t="shared" si="64"/>
        <v>3067.6136631707786</v>
      </c>
      <c r="O67" s="9">
        <f t="shared" si="64"/>
        <v>1564.3775673993819</v>
      </c>
      <c r="P67" s="9">
        <f>IF(P$73&lt;0,(O66+P66)*(P$73+1),(O66+P66)+(O$84+P$84)*P$73)</f>
        <v>1276.9537161899952</v>
      </c>
      <c r="R67" s="22">
        <f t="shared" si="59"/>
        <v>4.7407555007328278E-4</v>
      </c>
      <c r="S67" s="23"/>
      <c r="T67" s="24">
        <f t="shared" si="60"/>
        <v>49.044146189864612</v>
      </c>
      <c r="U67" s="23"/>
      <c r="V67" s="25">
        <f t="shared" si="63"/>
        <v>3767.5004100241495</v>
      </c>
      <c r="W67" s="23"/>
      <c r="X67" s="23"/>
      <c r="Y67" s="23"/>
      <c r="Z67" s="23"/>
      <c r="AA67" s="23"/>
      <c r="AB67" s="23"/>
      <c r="AC67" s="23"/>
      <c r="AD67" s="23"/>
      <c r="AE67" s="23"/>
      <c r="AF67" s="23"/>
    </row>
    <row r="68" spans="1:32" ht="15.95" customHeight="1">
      <c r="B68" s="8">
        <v>2035</v>
      </c>
      <c r="C68" s="9">
        <f t="shared" si="61"/>
        <v>52210.036427862098</v>
      </c>
      <c r="D68" s="9">
        <f>D$86*D$73</f>
        <v>336.26332795238534</v>
      </c>
      <c r="E68" s="9">
        <f>E$86*E$73</f>
        <v>1449.3992815502961</v>
      </c>
      <c r="F68" s="9">
        <f t="shared" ref="F68:O68" si="65">IF(F$73&lt;0,E67*(F$73+1),E67+E$85*F$73)</f>
        <v>2707.3169987191532</v>
      </c>
      <c r="G68" s="9">
        <f t="shared" si="65"/>
        <v>3805.3614080451307</v>
      </c>
      <c r="H68" s="9">
        <f t="shared" si="65"/>
        <v>4643.9244519009953</v>
      </c>
      <c r="I68" s="9">
        <f t="shared" si="65"/>
        <v>5037.0034959483673</v>
      </c>
      <c r="J68" s="9">
        <f t="shared" si="65"/>
        <v>5446.8879620914377</v>
      </c>
      <c r="K68" s="9">
        <f t="shared" si="65"/>
        <v>6860.114844650454</v>
      </c>
      <c r="L68" s="9">
        <f t="shared" si="65"/>
        <v>8172.6549424446112</v>
      </c>
      <c r="M68" s="9">
        <f t="shared" si="65"/>
        <v>7485.5322127035242</v>
      </c>
      <c r="N68" s="9">
        <f t="shared" si="65"/>
        <v>3738.2387488694908</v>
      </c>
      <c r="O68" s="9">
        <f t="shared" si="65"/>
        <v>1545.6968070240357</v>
      </c>
      <c r="P68" s="9">
        <f>IF(P$73&lt;0,(O67+P67)*(P$73+1),(O67+P67)+(O$85+P$85)*P$73)</f>
        <v>981.64194596222239</v>
      </c>
      <c r="R68" s="22">
        <f t="shared" si="59"/>
        <v>5.0808491802756825E-4</v>
      </c>
      <c r="S68" s="23"/>
      <c r="T68" s="24">
        <f t="shared" si="60"/>
        <v>49.719642909944291</v>
      </c>
      <c r="U68" s="23"/>
      <c r="V68" s="25">
        <f t="shared" si="63"/>
        <v>3555.5063976845613</v>
      </c>
      <c r="W68" s="23"/>
      <c r="X68" s="23"/>
      <c r="Y68" s="23"/>
      <c r="Z68" s="23"/>
      <c r="AA68" s="23"/>
      <c r="AB68" s="23"/>
      <c r="AC68" s="23"/>
      <c r="AD68" s="23"/>
      <c r="AE68" s="23"/>
      <c r="AF68" s="23"/>
    </row>
    <row r="69" spans="1:32" ht="15.95" customHeight="1">
      <c r="B69" s="8">
        <v>2040</v>
      </c>
      <c r="C69" s="9">
        <f t="shared" si="61"/>
        <v>52913.912765310597</v>
      </c>
      <c r="D69" s="9">
        <f>D$87*D$73</f>
        <v>306.19922906659747</v>
      </c>
      <c r="E69" s="9">
        <f>E$87*E$73</f>
        <v>1375.7073579655462</v>
      </c>
      <c r="F69" s="9">
        <f t="shared" ref="F69:O69" si="66">IF(F$73&lt;0,E68*(F$73+1),E68+E$86*F$73)</f>
        <v>2552.3407848578099</v>
      </c>
      <c r="G69" s="9">
        <f t="shared" si="66"/>
        <v>3614.6899369147527</v>
      </c>
      <c r="H69" s="9">
        <f t="shared" si="66"/>
        <v>4340.7085299347191</v>
      </c>
      <c r="I69" s="9">
        <f t="shared" si="66"/>
        <v>5294.7677177181304</v>
      </c>
      <c r="J69" s="9">
        <f t="shared" si="66"/>
        <v>5719.009162933462</v>
      </c>
      <c r="K69" s="9">
        <f t="shared" si="66"/>
        <v>6395.4558291025505</v>
      </c>
      <c r="L69" s="9">
        <f t="shared" si="66"/>
        <v>7845.0374170669756</v>
      </c>
      <c r="M69" s="9">
        <f t="shared" si="66"/>
        <v>7727.8427722639035</v>
      </c>
      <c r="N69" s="9">
        <f t="shared" si="66"/>
        <v>4985.3836282129632</v>
      </c>
      <c r="O69" s="9">
        <f t="shared" si="66"/>
        <v>1883.6086719109837</v>
      </c>
      <c r="P69" s="9">
        <f>IF(P$73&lt;0,(O68+P68)*(P$73+1),(O68+P68)+(O$86+P$86)*P$73)</f>
        <v>873.16172736220324</v>
      </c>
      <c r="R69" s="22">
        <f t="shared" si="59"/>
        <v>5.3457790184334409E-4</v>
      </c>
      <c r="S69" s="23"/>
      <c r="T69" s="24">
        <f t="shared" si="60"/>
        <v>50.413304312311126</v>
      </c>
      <c r="U69" s="23"/>
      <c r="V69" s="25">
        <f t="shared" si="63"/>
        <v>3355.9577005828723</v>
      </c>
      <c r="W69" s="23"/>
      <c r="X69" s="23"/>
      <c r="Y69" s="23"/>
      <c r="Z69" s="23"/>
      <c r="AA69" s="23"/>
      <c r="AB69" s="23"/>
      <c r="AC69" s="23"/>
      <c r="AD69" s="23"/>
      <c r="AE69" s="23"/>
      <c r="AF69" s="23"/>
    </row>
    <row r="70" spans="1:32" ht="15.95" customHeight="1">
      <c r="B70" s="8">
        <v>2045</v>
      </c>
      <c r="C70" s="9">
        <f t="shared" si="61"/>
        <v>52349.256120605642</v>
      </c>
      <c r="D70" s="9">
        <f>D$88*D$73</f>
        <v>293.79724109449324</v>
      </c>
      <c r="E70" s="9">
        <f>E$88*E$73</f>
        <v>1252.7199819626012</v>
      </c>
      <c r="F70" s="9">
        <f t="shared" ref="F70:O70" si="67">IF(F$73&lt;0,E69*(F$73+1),E69+E$87*F$73)</f>
        <v>2422.571918214795</v>
      </c>
      <c r="G70" s="9">
        <f t="shared" si="67"/>
        <v>3408.1067714764749</v>
      </c>
      <c r="H70" s="9">
        <f t="shared" si="67"/>
        <v>4123.7890077260754</v>
      </c>
      <c r="I70" s="9">
        <f t="shared" si="67"/>
        <v>4949.9550243588083</v>
      </c>
      <c r="J70" s="9">
        <f t="shared" si="67"/>
        <v>5985.3410756866597</v>
      </c>
      <c r="K70" s="9">
        <f t="shared" si="67"/>
        <v>6616.5582626380692</v>
      </c>
      <c r="L70" s="9">
        <f t="shared" si="67"/>
        <v>7267.1550086465213</v>
      </c>
      <c r="M70" s="9">
        <f t="shared" si="67"/>
        <v>7418.0564490450206</v>
      </c>
      <c r="N70" s="9">
        <f t="shared" si="67"/>
        <v>5146.7630815703806</v>
      </c>
      <c r="O70" s="9">
        <f t="shared" si="67"/>
        <v>2512.015006463896</v>
      </c>
      <c r="P70" s="9">
        <f>IF(P$73&lt;0,(O69+P69)*(P$73+1),(O69+P69)+(O$87+P$87)*P$73)</f>
        <v>952.42729172184488</v>
      </c>
      <c r="R70" s="22">
        <f t="shared" si="59"/>
        <v>5.5083030794761823E-4</v>
      </c>
      <c r="S70" s="23"/>
      <c r="T70" s="24">
        <f t="shared" si="60"/>
        <v>50.928251077509564</v>
      </c>
      <c r="U70" s="23"/>
      <c r="V70" s="25">
        <f t="shared" si="63"/>
        <v>3142.9485408584105</v>
      </c>
      <c r="W70" s="23"/>
      <c r="X70" s="23"/>
      <c r="Y70" s="23"/>
      <c r="Z70" s="23"/>
      <c r="AA70" s="23"/>
      <c r="AB70" s="23"/>
      <c r="AC70" s="23"/>
      <c r="AD70" s="23"/>
      <c r="AE70" s="23"/>
      <c r="AF70" s="23"/>
    </row>
    <row r="71" spans="1:32" ht="15.95" customHeight="1">
      <c r="B71" s="207">
        <v>2050</v>
      </c>
      <c r="C71" s="10">
        <f t="shared" si="61"/>
        <v>51052.121357921969</v>
      </c>
      <c r="D71" s="10">
        <f>D$89*D$73</f>
        <v>282.89027321347533</v>
      </c>
      <c r="E71" s="10">
        <f>E$89*E$73</f>
        <v>1202.0142411736283</v>
      </c>
      <c r="F71" s="10">
        <f t="shared" ref="F71:O71" si="68">IF(F$73&lt;0,E70*(F$73+1),E70+E$88*F$73)</f>
        <v>2205.9955063242069</v>
      </c>
      <c r="G71" s="10">
        <f t="shared" si="68"/>
        <v>3234.8604542860544</v>
      </c>
      <c r="H71" s="10">
        <f t="shared" si="68"/>
        <v>3888.2687207920344</v>
      </c>
      <c r="I71" s="10">
        <f t="shared" si="68"/>
        <v>4703.2320811780046</v>
      </c>
      <c r="J71" s="10">
        <f t="shared" si="68"/>
        <v>5596.4865937912855</v>
      </c>
      <c r="K71" s="10">
        <f t="shared" si="68"/>
        <v>6894.3572845300878</v>
      </c>
      <c r="L71" s="10">
        <f t="shared" si="68"/>
        <v>7441.696524304969</v>
      </c>
      <c r="M71" s="10">
        <f t="shared" si="68"/>
        <v>6871.62638138886</v>
      </c>
      <c r="N71" s="10">
        <f t="shared" si="68"/>
        <v>4940.4445967739712</v>
      </c>
      <c r="O71" s="10">
        <f t="shared" si="68"/>
        <v>2593.3302348998041</v>
      </c>
      <c r="P71" s="10">
        <f>IF(P$73&lt;0,(O70+P70)*(P$73+1),(O70+P70)+(O$88+P$88)*P$73)</f>
        <v>1196.9184652655824</v>
      </c>
      <c r="R71" s="17">
        <f t="shared" si="59"/>
        <v>5.6005269386407927E-4</v>
      </c>
      <c r="S71" s="23"/>
      <c r="T71" s="26">
        <f t="shared" si="60"/>
        <v>51.268855330109147</v>
      </c>
      <c r="U71" s="23"/>
      <c r="V71" s="27">
        <f t="shared" si="63"/>
        <v>2956.671333725476</v>
      </c>
      <c r="W71" s="23"/>
      <c r="X71" s="23"/>
      <c r="Y71" s="23"/>
      <c r="Z71" s="23"/>
      <c r="AA71" s="23"/>
      <c r="AB71" s="23"/>
      <c r="AC71" s="23"/>
      <c r="AD71" s="23"/>
      <c r="AE71" s="23"/>
      <c r="AF71" s="23"/>
    </row>
    <row r="72" spans="1:32" ht="15.95" customHeight="1">
      <c r="B72" s="28" t="s">
        <v>606</v>
      </c>
      <c r="C72" s="19"/>
      <c r="D72" s="273" t="s">
        <v>22</v>
      </c>
      <c r="E72" s="273"/>
      <c r="F72" s="274" t="s">
        <v>25</v>
      </c>
      <c r="G72" s="273"/>
      <c r="H72" s="273"/>
      <c r="I72" s="273"/>
      <c r="J72" s="273"/>
      <c r="K72" s="273"/>
      <c r="L72" s="275"/>
      <c r="M72" s="273" t="s">
        <v>26</v>
      </c>
      <c r="N72" s="273"/>
      <c r="O72" s="273"/>
      <c r="P72" s="27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</row>
    <row r="73" spans="1:32" ht="15.95" customHeight="1">
      <c r="B73" s="29" t="s">
        <v>609</v>
      </c>
      <c r="C73" s="2"/>
      <c r="D73" s="30">
        <v>7.0377069674071397E-5</v>
      </c>
      <c r="E73" s="30">
        <v>2.8104590888366435E-4</v>
      </c>
      <c r="F73" s="30">
        <v>2.1386597964297301E-4</v>
      </c>
      <c r="G73" s="30">
        <v>1.6326922054806395E-4</v>
      </c>
      <c r="H73" s="30">
        <v>9.1402801410547086E-5</v>
      </c>
      <c r="I73" s="30">
        <v>1.04232183665964E-4</v>
      </c>
      <c r="J73" s="30">
        <v>1.1095745678919687E-4</v>
      </c>
      <c r="K73" s="30">
        <v>1.4674143117052502E-4</v>
      </c>
      <c r="L73" s="30">
        <v>1.3601616584843704E-4</v>
      </c>
      <c r="M73" s="31">
        <v>-5.4426887383998035E-2</v>
      </c>
      <c r="N73" s="31">
        <v>-0.33399743845168639</v>
      </c>
      <c r="O73" s="31">
        <v>-0.49612403100775193</v>
      </c>
      <c r="P73" s="31">
        <v>-0.6545133784181123</v>
      </c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</row>
    <row r="74" spans="1:32" ht="15.95" customHeight="1">
      <c r="L74" s="32"/>
      <c r="S74" s="23"/>
      <c r="T74" s="23"/>
      <c r="U74" s="23"/>
      <c r="V74" s="23"/>
      <c r="W74" s="23"/>
      <c r="X74" s="23"/>
      <c r="Y74" s="23"/>
    </row>
    <row r="75" spans="1:32" ht="15.95" customHeight="1">
      <c r="B75" t="s">
        <v>27</v>
      </c>
      <c r="V75" s="23"/>
    </row>
    <row r="76" spans="1:32" ht="15.95" customHeight="1">
      <c r="B76" t="s">
        <v>28</v>
      </c>
      <c r="V76" s="23"/>
    </row>
    <row r="77" spans="1:32" ht="15.95" customHeight="1">
      <c r="B77" t="s">
        <v>29</v>
      </c>
      <c r="D77" s="23"/>
      <c r="E77" s="23"/>
      <c r="F77" s="23"/>
      <c r="G77" s="23"/>
      <c r="H77" s="23"/>
      <c r="I77" s="23"/>
      <c r="J77" s="23"/>
      <c r="V77" s="23"/>
    </row>
    <row r="78" spans="1:32" ht="15.95" customHeight="1">
      <c r="B78" t="s">
        <v>30</v>
      </c>
      <c r="D78" s="23"/>
      <c r="E78" s="23"/>
      <c r="F78" s="23"/>
      <c r="G78" s="23"/>
      <c r="H78" s="23"/>
      <c r="I78" s="23"/>
      <c r="J78" s="23"/>
    </row>
    <row r="79" spans="1:32">
      <c r="D79" s="23"/>
      <c r="E79" s="23"/>
      <c r="F79" s="23"/>
      <c r="G79" s="23"/>
      <c r="H79" s="23"/>
      <c r="I79" s="23"/>
      <c r="J79" s="23"/>
    </row>
    <row r="80" spans="1:32" hidden="1">
      <c r="A80" s="34" t="s">
        <v>31</v>
      </c>
      <c r="B80" s="34"/>
      <c r="C80" s="34"/>
      <c r="D80" s="35"/>
      <c r="E80" s="35"/>
      <c r="F80" s="35"/>
      <c r="G80" s="35"/>
      <c r="H80" s="35"/>
      <c r="I80" s="35"/>
      <c r="J80" s="35"/>
      <c r="K80" s="34"/>
      <c r="L80" s="34"/>
      <c r="M80" s="34"/>
      <c r="N80" s="34"/>
      <c r="O80" s="34"/>
      <c r="P80" s="34"/>
    </row>
    <row r="81" spans="1:16" hidden="1">
      <c r="A81" s="34"/>
      <c r="B81" s="34"/>
      <c r="C81" s="34" t="s">
        <v>32</v>
      </c>
      <c r="D81" s="35"/>
      <c r="E81" s="35"/>
      <c r="F81" s="35"/>
      <c r="G81" s="35"/>
      <c r="H81" s="35"/>
      <c r="I81" s="35"/>
      <c r="J81" s="35"/>
      <c r="K81" s="34"/>
      <c r="L81" s="34"/>
      <c r="M81" s="34"/>
      <c r="N81" s="34"/>
      <c r="O81" s="34"/>
      <c r="P81" s="34"/>
    </row>
    <row r="82" spans="1:16" hidden="1">
      <c r="A82" s="34"/>
      <c r="B82" s="35">
        <v>2015</v>
      </c>
      <c r="C82" s="36">
        <v>111024113.00302717</v>
      </c>
      <c r="D82" s="36">
        <v>6077909.4382716054</v>
      </c>
      <c r="E82" s="36">
        <v>6037182.5890910504</v>
      </c>
      <c r="F82" s="36">
        <v>6483775.8930446804</v>
      </c>
      <c r="G82" s="36">
        <v>7375238.7844271716</v>
      </c>
      <c r="H82" s="36">
        <v>8412381.0114207808</v>
      </c>
      <c r="I82" s="36">
        <v>9844826.8716196101</v>
      </c>
      <c r="J82" s="36">
        <v>8763038.9704355001</v>
      </c>
      <c r="K82" s="36">
        <v>8022055.3177803364</v>
      </c>
      <c r="L82" s="36">
        <v>7602202.8860874046</v>
      </c>
      <c r="M82" s="36">
        <v>8552840.6420625299</v>
      </c>
      <c r="N82" s="36">
        <v>9755453.5860094372</v>
      </c>
      <c r="O82" s="36">
        <v>7784857.1550396616</v>
      </c>
      <c r="P82" s="36">
        <v>16312349.857737388</v>
      </c>
    </row>
    <row r="83" spans="1:16" hidden="1">
      <c r="A83" s="34"/>
      <c r="B83" s="35">
        <v>2020</v>
      </c>
      <c r="C83" s="36">
        <v>110249883</v>
      </c>
      <c r="D83" s="36">
        <v>5645463</v>
      </c>
      <c r="E83" s="36">
        <v>6165948</v>
      </c>
      <c r="F83" s="36">
        <v>6173628</v>
      </c>
      <c r="G83" s="36">
        <v>6537831</v>
      </c>
      <c r="H83" s="36">
        <v>7375000</v>
      </c>
      <c r="I83" s="36">
        <v>8382191.9999999991</v>
      </c>
      <c r="J83" s="36">
        <v>9786088</v>
      </c>
      <c r="K83" s="36">
        <v>8676382</v>
      </c>
      <c r="L83" s="36">
        <v>7896336</v>
      </c>
      <c r="M83" s="36">
        <v>7419038</v>
      </c>
      <c r="N83" s="36">
        <v>8239218.0000000009</v>
      </c>
      <c r="O83" s="36">
        <v>9232861</v>
      </c>
      <c r="P83" s="36">
        <v>18719898</v>
      </c>
    </row>
    <row r="84" spans="1:16" hidden="1">
      <c r="A84" s="34"/>
      <c r="B84" s="35">
        <v>2025</v>
      </c>
      <c r="C84" s="36">
        <v>108471361</v>
      </c>
      <c r="D84" s="36">
        <v>5353068</v>
      </c>
      <c r="E84" s="36">
        <v>5760416</v>
      </c>
      <c r="F84" s="36">
        <v>6249435</v>
      </c>
      <c r="G84" s="36">
        <v>6181726</v>
      </c>
      <c r="H84" s="36">
        <v>6521392</v>
      </c>
      <c r="I84" s="36">
        <v>7346348</v>
      </c>
      <c r="J84" s="36">
        <v>8333566.0000000009</v>
      </c>
      <c r="K84" s="36">
        <v>9690139</v>
      </c>
      <c r="L84" s="36">
        <v>8546045</v>
      </c>
      <c r="M84" s="36">
        <v>7718377</v>
      </c>
      <c r="N84" s="36">
        <v>7163471</v>
      </c>
      <c r="O84" s="36">
        <v>7807654</v>
      </c>
      <c r="P84" s="36">
        <v>21799724</v>
      </c>
    </row>
    <row r="85" spans="1:16" hidden="1">
      <c r="A85" s="34"/>
      <c r="B85" s="35">
        <v>2030</v>
      </c>
      <c r="C85" s="36">
        <v>105913226</v>
      </c>
      <c r="D85" s="36">
        <v>5037586</v>
      </c>
      <c r="E85" s="36">
        <v>5470301</v>
      </c>
      <c r="F85" s="36">
        <v>5845946</v>
      </c>
      <c r="G85" s="36">
        <v>6257829</v>
      </c>
      <c r="H85" s="36">
        <v>6167625</v>
      </c>
      <c r="I85" s="36">
        <v>6497733</v>
      </c>
      <c r="J85" s="36">
        <v>7306409</v>
      </c>
      <c r="K85" s="36">
        <v>8255401</v>
      </c>
      <c r="L85" s="36">
        <v>9550684</v>
      </c>
      <c r="M85" s="36">
        <v>8364126</v>
      </c>
      <c r="N85" s="36">
        <v>7466772</v>
      </c>
      <c r="O85" s="36">
        <v>6808482</v>
      </c>
      <c r="P85" s="36">
        <v>22884332</v>
      </c>
    </row>
    <row r="86" spans="1:16" hidden="1">
      <c r="A86" s="34"/>
      <c r="B86" s="35">
        <v>2035</v>
      </c>
      <c r="C86" s="36">
        <v>102758485</v>
      </c>
      <c r="D86" s="36">
        <v>4778024</v>
      </c>
      <c r="E86" s="36">
        <v>5157162</v>
      </c>
      <c r="F86" s="36">
        <v>5557526</v>
      </c>
      <c r="G86" s="36">
        <v>5857010</v>
      </c>
      <c r="H86" s="36">
        <v>6244168</v>
      </c>
      <c r="I86" s="36">
        <v>6146551</v>
      </c>
      <c r="J86" s="36">
        <v>6464213</v>
      </c>
      <c r="K86" s="36">
        <v>7241217</v>
      </c>
      <c r="L86" s="36">
        <v>8140979</v>
      </c>
      <c r="M86" s="36">
        <v>9355033</v>
      </c>
      <c r="N86" s="36">
        <v>8105125</v>
      </c>
      <c r="O86" s="36">
        <v>7114216</v>
      </c>
      <c r="P86" s="36">
        <v>22597261</v>
      </c>
    </row>
    <row r="87" spans="1:16" hidden="1">
      <c r="A87" s="34"/>
      <c r="B87" s="35">
        <v>2040</v>
      </c>
      <c r="C87" s="36">
        <v>98982604</v>
      </c>
      <c r="D87" s="36">
        <v>4350838</v>
      </c>
      <c r="E87" s="36">
        <v>4894956</v>
      </c>
      <c r="F87" s="36">
        <v>5241441</v>
      </c>
      <c r="G87" s="36">
        <v>5569841</v>
      </c>
      <c r="H87" s="36">
        <v>5845090</v>
      </c>
      <c r="I87" s="36">
        <v>6223767</v>
      </c>
      <c r="J87" s="36">
        <v>6116535</v>
      </c>
      <c r="K87" s="36">
        <v>6408791</v>
      </c>
      <c r="L87" s="36">
        <v>7145199</v>
      </c>
      <c r="M87" s="36">
        <v>7980433</v>
      </c>
      <c r="N87" s="36">
        <v>9074752</v>
      </c>
      <c r="O87" s="36">
        <v>7739156</v>
      </c>
      <c r="P87" s="36">
        <v>22391805</v>
      </c>
    </row>
    <row r="88" spans="1:16" hidden="1">
      <c r="A88" s="34"/>
      <c r="B88" s="35">
        <v>2045</v>
      </c>
      <c r="C88" s="36">
        <v>95036993</v>
      </c>
      <c r="D88" s="36">
        <v>4174616</v>
      </c>
      <c r="E88" s="36">
        <v>4457350</v>
      </c>
      <c r="F88" s="36">
        <v>4975148</v>
      </c>
      <c r="G88" s="36">
        <v>5253252</v>
      </c>
      <c r="H88" s="36">
        <v>5559157</v>
      </c>
      <c r="I88" s="36">
        <v>5826842</v>
      </c>
      <c r="J88" s="36">
        <v>6194680</v>
      </c>
      <c r="K88" s="36">
        <v>6066472</v>
      </c>
      <c r="L88" s="36">
        <v>6326796</v>
      </c>
      <c r="M88" s="36">
        <v>7010405</v>
      </c>
      <c r="N88" s="36">
        <v>7749731</v>
      </c>
      <c r="O88" s="36">
        <v>8675903</v>
      </c>
      <c r="P88" s="36">
        <v>22766641</v>
      </c>
    </row>
    <row r="89" spans="1:16" hidden="1">
      <c r="A89" s="34"/>
      <c r="B89" s="34">
        <v>2050</v>
      </c>
      <c r="C89" s="36">
        <v>91155925</v>
      </c>
      <c r="D89" s="36">
        <v>4019637</v>
      </c>
      <c r="E89" s="36">
        <v>4276932</v>
      </c>
      <c r="F89" s="36">
        <v>4531084</v>
      </c>
      <c r="G89" s="36">
        <v>4986683</v>
      </c>
      <c r="H89" s="36">
        <v>5243561</v>
      </c>
      <c r="I89" s="36">
        <v>5542530</v>
      </c>
      <c r="J89" s="36">
        <v>5800688</v>
      </c>
      <c r="K89" s="36">
        <v>6145783</v>
      </c>
      <c r="L89" s="36">
        <v>5991862</v>
      </c>
      <c r="M89" s="36">
        <v>6211346</v>
      </c>
      <c r="N89" s="36">
        <v>6816046</v>
      </c>
      <c r="O89" s="36">
        <v>7419453</v>
      </c>
      <c r="P89" s="36">
        <v>24170320</v>
      </c>
    </row>
    <row r="90" spans="1:16" hidden="1">
      <c r="A90" s="34"/>
      <c r="B90" s="34" t="s">
        <v>33</v>
      </c>
      <c r="C90" s="34"/>
      <c r="D90" s="35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</row>
    <row r="91" spans="1:16" hidden="1">
      <c r="A91" s="34"/>
      <c r="B91" s="34"/>
      <c r="C91" s="34"/>
      <c r="D91" s="35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</row>
    <row r="92" spans="1:16" hidden="1">
      <c r="A92" s="34"/>
      <c r="B92" s="34" t="s">
        <v>34</v>
      </c>
      <c r="C92" s="34"/>
      <c r="D92" s="37">
        <v>17</v>
      </c>
      <c r="E92" s="37">
        <v>22</v>
      </c>
      <c r="F92" s="37">
        <v>27</v>
      </c>
      <c r="G92" s="37">
        <v>32</v>
      </c>
      <c r="H92" s="37">
        <v>37</v>
      </c>
      <c r="I92" s="37">
        <v>42</v>
      </c>
      <c r="J92" s="37">
        <v>47</v>
      </c>
      <c r="K92" s="37">
        <v>52</v>
      </c>
      <c r="L92" s="37">
        <v>57</v>
      </c>
      <c r="M92" s="37">
        <v>62</v>
      </c>
      <c r="N92" s="37">
        <v>67</v>
      </c>
      <c r="O92" s="37">
        <v>72</v>
      </c>
      <c r="P92" s="37">
        <v>77</v>
      </c>
    </row>
    <row r="93" spans="1:16" hidden="1">
      <c r="A93" s="34"/>
      <c r="B93" s="34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</row>
    <row r="94" spans="1:16" hidden="1">
      <c r="A94" s="34"/>
      <c r="B94" s="34"/>
      <c r="C94" s="35" t="s">
        <v>35</v>
      </c>
      <c r="D94" s="35" t="s">
        <v>36</v>
      </c>
      <c r="E94" s="35" t="s">
        <v>37</v>
      </c>
      <c r="F94" s="35" t="s">
        <v>38</v>
      </c>
      <c r="G94" s="35" t="s">
        <v>39</v>
      </c>
      <c r="H94" s="35" t="s">
        <v>40</v>
      </c>
      <c r="I94" s="35"/>
      <c r="J94" s="35"/>
      <c r="K94" s="35"/>
      <c r="L94" s="35"/>
      <c r="M94" s="35"/>
      <c r="N94" s="35"/>
      <c r="O94" s="35"/>
      <c r="P94" s="35"/>
    </row>
    <row r="95" spans="1:16" hidden="1">
      <c r="A95" s="34"/>
      <c r="B95" s="35">
        <v>2015</v>
      </c>
      <c r="C95" s="38">
        <f>C7</f>
        <v>45430</v>
      </c>
      <c r="D95" s="38">
        <f>C7</f>
        <v>45430</v>
      </c>
      <c r="E95" s="38">
        <f>C7</f>
        <v>45430</v>
      </c>
      <c r="F95" s="38">
        <f>C7</f>
        <v>45430</v>
      </c>
      <c r="G95" s="38">
        <f>C7</f>
        <v>45430</v>
      </c>
      <c r="H95" s="38">
        <f>C7</f>
        <v>45430</v>
      </c>
      <c r="I95" s="34"/>
      <c r="J95" s="34"/>
      <c r="K95" s="34"/>
      <c r="L95" s="34"/>
      <c r="M95" s="34"/>
      <c r="N95" s="34"/>
      <c r="O95" s="34"/>
      <c r="P95" s="34"/>
    </row>
    <row r="96" spans="1:16" hidden="1">
      <c r="A96" s="34"/>
      <c r="B96" s="35">
        <v>2020</v>
      </c>
      <c r="C96" s="38">
        <f t="shared" ref="C96:C102" si="69">C10</f>
        <v>40226.599184953324</v>
      </c>
      <c r="D96" s="38">
        <f t="shared" ref="D96:D102" si="70">C21</f>
        <v>41585.430407265711</v>
      </c>
      <c r="E96" s="38">
        <f t="shared" ref="E96:E102" si="71">C32</f>
        <v>42944.261629578097</v>
      </c>
      <c r="F96" s="38">
        <f t="shared" ref="F96:F102" si="72">C43</f>
        <v>44303.092851890484</v>
      </c>
      <c r="G96" s="38">
        <f>C54</f>
        <v>38272.480468438116</v>
      </c>
      <c r="H96" s="38">
        <f>C65</f>
        <v>45781.619478483735</v>
      </c>
      <c r="I96" s="34"/>
      <c r="J96" s="34"/>
      <c r="K96" s="34"/>
      <c r="L96" s="34"/>
      <c r="M96" s="34"/>
      <c r="N96" s="34"/>
      <c r="O96" s="34"/>
      <c r="P96" s="34"/>
    </row>
    <row r="97" spans="1:34" hidden="1">
      <c r="A97" s="34"/>
      <c r="B97" s="35">
        <v>2025</v>
      </c>
      <c r="C97" s="38">
        <f t="shared" si="69"/>
        <v>35603.20033924844</v>
      </c>
      <c r="D97" s="38">
        <f t="shared" si="70"/>
        <v>38111.022975160748</v>
      </c>
      <c r="E97" s="38">
        <f t="shared" si="71"/>
        <v>40618.845611073055</v>
      </c>
      <c r="F97" s="38">
        <f t="shared" si="72"/>
        <v>43126.668246985362</v>
      </c>
      <c r="G97" s="38">
        <f t="shared" ref="G97:G102" si="73">C55</f>
        <v>34511.405017150486</v>
      </c>
      <c r="H97" s="38">
        <f t="shared" ref="H97:H102" si="74">C66</f>
        <v>47663.510428888287</v>
      </c>
      <c r="I97" s="34"/>
      <c r="J97" s="34"/>
      <c r="K97" s="34"/>
      <c r="L97" s="34"/>
      <c r="M97" s="34"/>
      <c r="N97" s="34"/>
      <c r="O97" s="34"/>
      <c r="P97" s="34"/>
    </row>
    <row r="98" spans="1:34" hidden="1">
      <c r="A98" s="34"/>
      <c r="B98" s="35">
        <v>2030</v>
      </c>
      <c r="C98" s="38">
        <f t="shared" si="69"/>
        <v>31912.291024808448</v>
      </c>
      <c r="D98" s="38">
        <f t="shared" si="70"/>
        <v>35515.79616383867</v>
      </c>
      <c r="E98" s="38">
        <f t="shared" si="71"/>
        <v>39119.30130286888</v>
      </c>
      <c r="F98" s="38">
        <f t="shared" si="72"/>
        <v>42722.806441899105</v>
      </c>
      <c r="G98" s="38">
        <f t="shared" si="73"/>
        <v>32643.336989074207</v>
      </c>
      <c r="H98" s="38">
        <f t="shared" si="74"/>
        <v>50210.870875985915</v>
      </c>
      <c r="I98" s="34"/>
      <c r="J98" s="34"/>
      <c r="K98" s="34"/>
      <c r="L98" s="34"/>
      <c r="M98" s="34"/>
      <c r="N98" s="34"/>
      <c r="O98" s="34"/>
      <c r="P98" s="34"/>
    </row>
    <row r="99" spans="1:34" hidden="1">
      <c r="A99" s="34"/>
      <c r="B99" s="35">
        <v>2035</v>
      </c>
      <c r="C99" s="38">
        <f t="shared" si="69"/>
        <v>29165.677512313134</v>
      </c>
      <c r="D99" s="38">
        <f t="shared" si="70"/>
        <v>33791.54795914537</v>
      </c>
      <c r="E99" s="38">
        <f t="shared" si="71"/>
        <v>38417.418405977609</v>
      </c>
      <c r="F99" s="38">
        <f t="shared" si="72"/>
        <v>43043.288852809834</v>
      </c>
      <c r="G99" s="38">
        <f t="shared" si="73"/>
        <v>31201.363256551012</v>
      </c>
      <c r="H99" s="38">
        <f t="shared" si="74"/>
        <v>52210.036427862098</v>
      </c>
      <c r="I99" s="34"/>
      <c r="J99" s="34"/>
      <c r="K99" s="34"/>
      <c r="L99" s="34"/>
      <c r="M99" s="34"/>
      <c r="N99" s="34"/>
      <c r="O99" s="34"/>
      <c r="P99" s="34"/>
    </row>
    <row r="100" spans="1:34" hidden="1">
      <c r="A100" s="34"/>
      <c r="B100" s="35">
        <v>2040</v>
      </c>
      <c r="C100" s="38">
        <f t="shared" si="69"/>
        <v>27051.275291831342</v>
      </c>
      <c r="D100" s="38">
        <f t="shared" si="70"/>
        <v>32608.112072889639</v>
      </c>
      <c r="E100" s="38">
        <f t="shared" si="71"/>
        <v>38164.948853947928</v>
      </c>
      <c r="F100" s="38">
        <f t="shared" si="72"/>
        <v>43721.785635006221</v>
      </c>
      <c r="G100" s="38">
        <f t="shared" si="73"/>
        <v>29496.890663490314</v>
      </c>
      <c r="H100" s="38">
        <f t="shared" si="74"/>
        <v>52913.912765310597</v>
      </c>
      <c r="I100" s="34"/>
      <c r="J100" s="34"/>
      <c r="K100" s="34"/>
      <c r="L100" s="34"/>
      <c r="M100" s="34"/>
      <c r="N100" s="34"/>
      <c r="O100" s="34"/>
      <c r="P100" s="34"/>
    </row>
    <row r="101" spans="1:34" hidden="1">
      <c r="A101" s="34"/>
      <c r="B101" s="35">
        <v>2045</v>
      </c>
      <c r="C101" s="38">
        <f t="shared" si="69"/>
        <v>25184.43259672197</v>
      </c>
      <c r="D101" s="38">
        <f t="shared" si="70"/>
        <v>31513.154500622484</v>
      </c>
      <c r="E101" s="38">
        <f t="shared" si="71"/>
        <v>37841.876404522998</v>
      </c>
      <c r="F101" s="38">
        <f t="shared" si="72"/>
        <v>44170.598308423512</v>
      </c>
      <c r="G101" s="38">
        <f t="shared" si="73"/>
        <v>27348.331004869367</v>
      </c>
      <c r="H101" s="38">
        <f t="shared" si="74"/>
        <v>52349.256120605642</v>
      </c>
      <c r="I101" s="34"/>
      <c r="J101" s="34"/>
      <c r="K101" s="34"/>
      <c r="L101" s="34"/>
      <c r="M101" s="34"/>
      <c r="N101" s="34"/>
      <c r="O101" s="34"/>
      <c r="P101" s="34"/>
    </row>
    <row r="102" spans="1:34" hidden="1">
      <c r="A102" s="34"/>
      <c r="B102" s="34">
        <v>2050</v>
      </c>
      <c r="C102" s="38">
        <f t="shared" si="69"/>
        <v>23445.764191826849</v>
      </c>
      <c r="D102" s="38">
        <f t="shared" si="70"/>
        <v>30407.258246489735</v>
      </c>
      <c r="E102" s="38">
        <f t="shared" si="71"/>
        <v>37368.752301152614</v>
      </c>
      <c r="F102" s="38">
        <f t="shared" si="72"/>
        <v>44330.2463558155</v>
      </c>
      <c r="G102" s="38">
        <f t="shared" si="73"/>
        <v>25160.770958810601</v>
      </c>
      <c r="H102" s="38">
        <f t="shared" si="74"/>
        <v>51052.121357921969</v>
      </c>
      <c r="I102" s="34"/>
      <c r="J102" s="34"/>
      <c r="K102" s="34"/>
      <c r="L102" s="34"/>
      <c r="M102" s="34"/>
      <c r="N102" s="34"/>
      <c r="O102" s="34"/>
      <c r="P102" s="34"/>
    </row>
    <row r="104" spans="1:34"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</row>
    <row r="105" spans="1:34"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</row>
    <row r="106" spans="1:34"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</row>
    <row r="107" spans="1:34"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</row>
    <row r="108" spans="1:34"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</row>
    <row r="109" spans="1:34"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</row>
    <row r="110" spans="1:34"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</row>
    <row r="111" spans="1:34"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</row>
    <row r="112" spans="1:34">
      <c r="U112" s="23"/>
      <c r="V112" s="23"/>
    </row>
    <row r="113" spans="21:22">
      <c r="U113" s="23"/>
      <c r="V113" s="23"/>
    </row>
    <row r="114" spans="21:22">
      <c r="U114" s="23"/>
    </row>
  </sheetData>
  <mergeCells count="19">
    <mergeCell ref="D61:E61"/>
    <mergeCell ref="F61:L61"/>
    <mergeCell ref="M61:P61"/>
    <mergeCell ref="D72:E72"/>
    <mergeCell ref="F72:L72"/>
    <mergeCell ref="M72:P72"/>
    <mergeCell ref="D39:E39"/>
    <mergeCell ref="F39:I39"/>
    <mergeCell ref="J39:P39"/>
    <mergeCell ref="D50:E50"/>
    <mergeCell ref="F50:I50"/>
    <mergeCell ref="J50:P50"/>
    <mergeCell ref="V5:V9"/>
    <mergeCell ref="D17:E17"/>
    <mergeCell ref="F17:I17"/>
    <mergeCell ref="J17:P17"/>
    <mergeCell ref="D28:E28"/>
    <mergeCell ref="F28:I28"/>
    <mergeCell ref="J28:P28"/>
  </mergeCells>
  <phoneticPr fontId="4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I66"/>
  <sheetViews>
    <sheetView showGridLines="0" workbookViewId="0">
      <selection activeCell="O10" sqref="O10"/>
    </sheetView>
  </sheetViews>
  <sheetFormatPr defaultRowHeight="13.5"/>
  <cols>
    <col min="1" max="1" width="2.625" customWidth="1"/>
    <col min="2" max="12" width="9.625" customWidth="1"/>
  </cols>
  <sheetData>
    <row r="1" spans="1:12">
      <c r="A1" s="1"/>
    </row>
    <row r="2" spans="1:12" ht="15.95" customHeight="1">
      <c r="B2" s="39" t="s">
        <v>109</v>
      </c>
    </row>
    <row r="3" spans="1:12" ht="15.95" customHeight="1"/>
    <row r="4" spans="1:12" ht="15.9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3" t="s">
        <v>0</v>
      </c>
    </row>
    <row r="5" spans="1:12" ht="30" customHeight="1">
      <c r="B5" s="211" t="s">
        <v>2</v>
      </c>
      <c r="C5" s="211" t="s">
        <v>78</v>
      </c>
      <c r="D5" s="211" t="s">
        <v>79</v>
      </c>
      <c r="E5" s="211" t="s">
        <v>80</v>
      </c>
      <c r="F5" s="211" t="s">
        <v>81</v>
      </c>
      <c r="G5" s="211" t="s">
        <v>82</v>
      </c>
      <c r="H5" s="211" t="s">
        <v>83</v>
      </c>
      <c r="I5" s="211" t="s">
        <v>84</v>
      </c>
      <c r="J5" s="211" t="s">
        <v>85</v>
      </c>
      <c r="K5" s="211" t="s">
        <v>86</v>
      </c>
      <c r="L5" s="211" t="s">
        <v>87</v>
      </c>
    </row>
    <row r="6" spans="1:12" ht="15.95" customHeight="1">
      <c r="B6" s="8">
        <v>1980</v>
      </c>
      <c r="C6" s="9">
        <v>146322</v>
      </c>
      <c r="D6" s="9">
        <v>16363</v>
      </c>
      <c r="E6" s="9">
        <v>27867</v>
      </c>
      <c r="F6" s="9">
        <v>6449</v>
      </c>
      <c r="G6" s="9">
        <v>8124</v>
      </c>
      <c r="H6" s="9">
        <v>22303</v>
      </c>
      <c r="I6" s="9">
        <v>15357</v>
      </c>
      <c r="J6" s="9">
        <v>14442</v>
      </c>
      <c r="K6" s="9">
        <v>12023</v>
      </c>
      <c r="L6" s="9">
        <v>23374</v>
      </c>
    </row>
    <row r="7" spans="1:12" ht="15.95" customHeight="1">
      <c r="B7" s="8">
        <v>1985</v>
      </c>
      <c r="C7" s="9">
        <v>126343</v>
      </c>
      <c r="D7" s="9">
        <v>14525</v>
      </c>
      <c r="E7" s="9">
        <v>22514</v>
      </c>
      <c r="F7" s="9">
        <v>7189</v>
      </c>
      <c r="G7" s="9">
        <v>7256</v>
      </c>
      <c r="H7" s="9">
        <v>19228</v>
      </c>
      <c r="I7" s="9">
        <v>12559</v>
      </c>
      <c r="J7" s="9">
        <v>12758</v>
      </c>
      <c r="K7" s="9">
        <v>9599</v>
      </c>
      <c r="L7" s="9">
        <v>20715</v>
      </c>
    </row>
    <row r="8" spans="1:12" ht="15.95" customHeight="1">
      <c r="B8" s="8">
        <v>1990</v>
      </c>
      <c r="C8" s="9">
        <v>100497</v>
      </c>
      <c r="D8" s="9">
        <v>10273</v>
      </c>
      <c r="E8" s="9">
        <v>19022</v>
      </c>
      <c r="F8" s="9">
        <v>5405</v>
      </c>
      <c r="G8" s="9">
        <v>5868</v>
      </c>
      <c r="H8" s="9">
        <v>14464</v>
      </c>
      <c r="I8" s="9">
        <v>9743</v>
      </c>
      <c r="J8" s="9">
        <v>10776</v>
      </c>
      <c r="K8" s="9">
        <v>8241</v>
      </c>
      <c r="L8" s="9">
        <v>16705</v>
      </c>
    </row>
    <row r="9" spans="1:12" ht="15.95" customHeight="1">
      <c r="B9" s="8">
        <v>1995</v>
      </c>
      <c r="C9" s="9">
        <v>81564</v>
      </c>
      <c r="D9" s="9">
        <v>7525</v>
      </c>
      <c r="E9" s="9">
        <v>14293</v>
      </c>
      <c r="F9" s="9">
        <v>4557</v>
      </c>
      <c r="G9" s="9">
        <v>5307</v>
      </c>
      <c r="H9" s="9">
        <v>11933</v>
      </c>
      <c r="I9" s="9">
        <v>8967</v>
      </c>
      <c r="J9" s="9">
        <v>8273</v>
      </c>
      <c r="K9" s="9">
        <v>6463</v>
      </c>
      <c r="L9" s="9">
        <v>14246</v>
      </c>
    </row>
    <row r="10" spans="1:12" ht="15.95" customHeight="1">
      <c r="B10" s="8">
        <v>2000</v>
      </c>
      <c r="C10" s="9">
        <v>67558</v>
      </c>
      <c r="D10" s="9">
        <v>5978</v>
      </c>
      <c r="E10" s="9">
        <v>12168</v>
      </c>
      <c r="F10" s="9">
        <v>4194</v>
      </c>
      <c r="G10" s="9">
        <v>4654</v>
      </c>
      <c r="H10" s="9">
        <v>9612</v>
      </c>
      <c r="I10" s="9">
        <v>6705</v>
      </c>
      <c r="J10" s="9">
        <v>7241</v>
      </c>
      <c r="K10" s="9">
        <v>5194</v>
      </c>
      <c r="L10" s="9">
        <v>11812</v>
      </c>
    </row>
    <row r="11" spans="1:12" ht="15.95" customHeight="1">
      <c r="B11" s="8">
        <v>2005</v>
      </c>
      <c r="C11" s="9">
        <v>52173</v>
      </c>
      <c r="D11" s="9">
        <v>4918</v>
      </c>
      <c r="E11" s="9">
        <v>9329</v>
      </c>
      <c r="F11" s="9">
        <v>2811</v>
      </c>
      <c r="G11" s="9">
        <v>3631</v>
      </c>
      <c r="H11" s="9">
        <v>7632</v>
      </c>
      <c r="I11" s="9">
        <v>4902</v>
      </c>
      <c r="J11" s="9">
        <v>5221</v>
      </c>
      <c r="K11" s="9">
        <v>4607</v>
      </c>
      <c r="L11" s="9">
        <v>9122</v>
      </c>
    </row>
    <row r="12" spans="1:12" ht="15.95" customHeight="1">
      <c r="B12" s="8">
        <v>2010</v>
      </c>
      <c r="C12" s="9">
        <v>51210</v>
      </c>
      <c r="D12" s="9">
        <v>4850</v>
      </c>
      <c r="E12" s="9">
        <v>9490</v>
      </c>
      <c r="F12" s="9">
        <v>2990</v>
      </c>
      <c r="G12" s="9">
        <v>3320</v>
      </c>
      <c r="H12" s="9">
        <v>7310</v>
      </c>
      <c r="I12" s="9">
        <v>4000</v>
      </c>
      <c r="J12" s="9">
        <v>5110</v>
      </c>
      <c r="K12" s="9">
        <v>4310</v>
      </c>
      <c r="L12" s="9">
        <v>9730</v>
      </c>
    </row>
    <row r="13" spans="1:12" ht="15.95" customHeight="1">
      <c r="B13" s="207">
        <v>2015</v>
      </c>
      <c r="C13" s="10">
        <v>45430</v>
      </c>
      <c r="D13" s="10">
        <v>4380</v>
      </c>
      <c r="E13" s="10">
        <v>8410</v>
      </c>
      <c r="F13" s="10">
        <v>2020</v>
      </c>
      <c r="G13" s="10">
        <v>3370</v>
      </c>
      <c r="H13" s="10">
        <v>6620</v>
      </c>
      <c r="I13" s="10">
        <v>3760</v>
      </c>
      <c r="J13" s="10">
        <v>4110</v>
      </c>
      <c r="K13" s="10">
        <v>4040</v>
      </c>
      <c r="L13" s="10">
        <v>8700</v>
      </c>
    </row>
    <row r="14" spans="1:12" ht="15.95" customHeight="1">
      <c r="B14" s="8">
        <v>2020</v>
      </c>
      <c r="C14" s="9">
        <v>40226.599184953324</v>
      </c>
      <c r="D14" s="9">
        <v>4014.1716295568904</v>
      </c>
      <c r="E14" s="9">
        <v>7346.0537943398167</v>
      </c>
      <c r="F14" s="9">
        <v>1512.413716416673</v>
      </c>
      <c r="G14" s="9">
        <v>3375.4097884482608</v>
      </c>
      <c r="H14" s="9">
        <v>6030.9906345551362</v>
      </c>
      <c r="I14" s="9">
        <v>3575.0703440490129</v>
      </c>
      <c r="J14" s="9">
        <v>3380.9402789597484</v>
      </c>
      <c r="K14" s="9">
        <v>3816.6061687674182</v>
      </c>
      <c r="L14" s="9">
        <v>7689.7550447154526</v>
      </c>
    </row>
    <row r="15" spans="1:12" ht="15.95" customHeight="1">
      <c r="B15" s="8">
        <v>2025</v>
      </c>
      <c r="C15" s="9">
        <v>35603.20033924844</v>
      </c>
      <c r="D15" s="9">
        <v>3747.4340745186978</v>
      </c>
      <c r="E15" s="9">
        <v>6312.6478485307025</v>
      </c>
      <c r="F15" s="9">
        <v>1114.1711703587755</v>
      </c>
      <c r="G15" s="9">
        <v>3301.2898106105727</v>
      </c>
      <c r="H15" s="9">
        <v>5483.8912083754358</v>
      </c>
      <c r="I15" s="9">
        <v>3389.1612653069005</v>
      </c>
      <c r="J15" s="9">
        <v>2907.6268562977471</v>
      </c>
      <c r="K15" s="9">
        <v>3607.7996788394253</v>
      </c>
      <c r="L15" s="9">
        <v>6830.0164680473245</v>
      </c>
    </row>
    <row r="16" spans="1:12" ht="15.95" customHeight="1">
      <c r="B16" s="8">
        <v>2030</v>
      </c>
      <c r="C16" s="9">
        <v>31912.291024808448</v>
      </c>
      <c r="D16" s="9">
        <v>3550.8387112017203</v>
      </c>
      <c r="E16" s="9">
        <v>5413.834783240045</v>
      </c>
      <c r="F16" s="9">
        <v>828.9124809742973</v>
      </c>
      <c r="G16" s="9">
        <v>3213.2845064227527</v>
      </c>
      <c r="H16" s="9">
        <v>5044.8521203455966</v>
      </c>
      <c r="I16" s="9">
        <v>3215.2645299756878</v>
      </c>
      <c r="J16" s="9">
        <v>2576.0657071902801</v>
      </c>
      <c r="K16" s="9">
        <v>3407.3722265080073</v>
      </c>
      <c r="L16" s="9">
        <v>6182.5998124588359</v>
      </c>
    </row>
    <row r="17" spans="2:22" ht="15.95" customHeight="1">
      <c r="B17" s="8">
        <v>2035</v>
      </c>
      <c r="C17" s="9">
        <v>29165.677512313134</v>
      </c>
      <c r="D17" s="9">
        <v>3415.2753121719034</v>
      </c>
      <c r="E17" s="9">
        <v>4753.3405364428972</v>
      </c>
      <c r="F17" s="9">
        <v>616.46956036827305</v>
      </c>
      <c r="G17" s="9">
        <v>3119.6083364617548</v>
      </c>
      <c r="H17" s="9">
        <v>4670.4808300190307</v>
      </c>
      <c r="I17" s="9">
        <v>3003.7031093893975</v>
      </c>
      <c r="J17" s="9">
        <v>2332.9148158602211</v>
      </c>
      <c r="K17" s="9">
        <v>3219.400696783046</v>
      </c>
      <c r="L17" s="9">
        <v>5787.3519808530937</v>
      </c>
    </row>
    <row r="18" spans="2:22" ht="15.95" customHeight="1">
      <c r="B18" s="8">
        <v>2040</v>
      </c>
      <c r="C18" s="9">
        <v>27051.275291831342</v>
      </c>
      <c r="D18" s="9">
        <v>3303.5608104522871</v>
      </c>
      <c r="E18" s="9">
        <v>4245.7398709609806</v>
      </c>
      <c r="F18" s="9">
        <v>504.39792996249918</v>
      </c>
      <c r="G18" s="9">
        <v>3006.8679133733895</v>
      </c>
      <c r="H18" s="9">
        <v>4339.9085933015349</v>
      </c>
      <c r="I18" s="9">
        <v>2754.6313111183363</v>
      </c>
      <c r="J18" s="9">
        <v>2124.5005564860612</v>
      </c>
      <c r="K18" s="9">
        <v>3000.7852098428175</v>
      </c>
      <c r="L18" s="9">
        <v>5552.3415229983475</v>
      </c>
    </row>
    <row r="19" spans="2:22" ht="15.95" customHeight="1">
      <c r="B19" s="8">
        <v>2045</v>
      </c>
      <c r="C19" s="9">
        <v>25184.43259672197</v>
      </c>
      <c r="D19" s="9">
        <v>3182.2794295523877</v>
      </c>
      <c r="E19" s="9">
        <v>3851.3490134967765</v>
      </c>
      <c r="F19" s="9">
        <v>441.39417750537302</v>
      </c>
      <c r="G19" s="9">
        <v>2866.6816037395652</v>
      </c>
      <c r="H19" s="9">
        <v>4006.1265690444129</v>
      </c>
      <c r="I19" s="9">
        <v>2515.3561805918812</v>
      </c>
      <c r="J19" s="9">
        <v>1950.2875572193122</v>
      </c>
      <c r="K19" s="9">
        <v>2747.7376309296292</v>
      </c>
      <c r="L19" s="9">
        <v>5345.5694729080369</v>
      </c>
    </row>
    <row r="20" spans="2:22" ht="15.95" customHeight="1">
      <c r="B20" s="207">
        <v>2050</v>
      </c>
      <c r="C20" s="10">
        <v>23445.764191826849</v>
      </c>
      <c r="D20" s="10">
        <v>3017.7765274570461</v>
      </c>
      <c r="E20" s="10">
        <v>3494.4616705296949</v>
      </c>
      <c r="F20" s="10">
        <v>399.63700019472867</v>
      </c>
      <c r="G20" s="10">
        <v>2695.5821365236598</v>
      </c>
      <c r="H20" s="10">
        <v>3687.7854672561143</v>
      </c>
      <c r="I20" s="10">
        <v>2296.5093347600273</v>
      </c>
      <c r="J20" s="10">
        <v>1810.3027244429427</v>
      </c>
      <c r="K20" s="10">
        <v>2495.6683838470967</v>
      </c>
      <c r="L20" s="10">
        <v>5133.6374189082117</v>
      </c>
    </row>
    <row r="21" spans="2:22" ht="15.95" customHeight="1"/>
    <row r="22" spans="2:22" ht="15.95" customHeight="1">
      <c r="B22" s="2" t="s">
        <v>88</v>
      </c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2:22" ht="15.95" customHeight="1">
      <c r="B23" s="8">
        <v>2015</v>
      </c>
      <c r="C23" s="9">
        <f>C13/C$13*100</f>
        <v>100</v>
      </c>
      <c r="D23" s="9">
        <f t="shared" ref="D23:L23" si="0">D13/D$13*100</f>
        <v>100</v>
      </c>
      <c r="E23" s="9">
        <f t="shared" si="0"/>
        <v>100</v>
      </c>
      <c r="F23" s="9">
        <f t="shared" si="0"/>
        <v>100</v>
      </c>
      <c r="G23" s="9">
        <f t="shared" si="0"/>
        <v>100</v>
      </c>
      <c r="H23" s="9">
        <f t="shared" si="0"/>
        <v>100</v>
      </c>
      <c r="I23" s="9">
        <f t="shared" si="0"/>
        <v>100</v>
      </c>
      <c r="J23" s="9">
        <f t="shared" si="0"/>
        <v>100</v>
      </c>
      <c r="K23" s="9">
        <f t="shared" si="0"/>
        <v>100</v>
      </c>
      <c r="L23" s="9">
        <f t="shared" si="0"/>
        <v>100</v>
      </c>
      <c r="M23" s="23"/>
      <c r="N23" s="23"/>
      <c r="O23" s="23"/>
      <c r="P23" s="23"/>
      <c r="Q23" s="23"/>
      <c r="R23" s="23"/>
      <c r="S23" s="23"/>
      <c r="T23" s="23"/>
    </row>
    <row r="24" spans="2:22" ht="15.95" customHeight="1">
      <c r="B24" s="8">
        <v>2020</v>
      </c>
      <c r="C24" s="9">
        <f t="shared" ref="C24:L30" si="1">C14/C$13*100</f>
        <v>88.546333226839806</v>
      </c>
      <c r="D24" s="9">
        <f t="shared" si="1"/>
        <v>91.64775409947238</v>
      </c>
      <c r="E24" s="9">
        <f t="shared" si="1"/>
        <v>87.349034415455606</v>
      </c>
      <c r="F24" s="9">
        <f t="shared" si="1"/>
        <v>74.871966159241225</v>
      </c>
      <c r="G24" s="9">
        <f t="shared" si="1"/>
        <v>100.16052784712942</v>
      </c>
      <c r="H24" s="9">
        <f t="shared" si="1"/>
        <v>91.102577561255842</v>
      </c>
      <c r="I24" s="9">
        <f t="shared" si="1"/>
        <v>95.081658086409917</v>
      </c>
      <c r="J24" s="9">
        <f t="shared" si="1"/>
        <v>82.261320655954947</v>
      </c>
      <c r="K24" s="9">
        <f t="shared" si="1"/>
        <v>94.470449721965792</v>
      </c>
      <c r="L24" s="9">
        <f t="shared" si="1"/>
        <v>88.38798901971785</v>
      </c>
      <c r="M24" s="23"/>
      <c r="N24" s="23"/>
      <c r="O24" s="23"/>
      <c r="P24" s="23"/>
      <c r="Q24" s="23"/>
      <c r="R24" s="23"/>
      <c r="S24" s="23"/>
      <c r="T24" s="23"/>
    </row>
    <row r="25" spans="2:22" ht="15.95" customHeight="1">
      <c r="B25" s="8">
        <v>2025</v>
      </c>
      <c r="C25" s="9">
        <f t="shared" si="1"/>
        <v>78.369360200855027</v>
      </c>
      <c r="D25" s="9">
        <f t="shared" si="1"/>
        <v>85.557855582618672</v>
      </c>
      <c r="E25" s="9">
        <f t="shared" si="1"/>
        <v>75.061211040793125</v>
      </c>
      <c r="F25" s="9">
        <f t="shared" si="1"/>
        <v>55.156988631622553</v>
      </c>
      <c r="G25" s="9">
        <f t="shared" si="1"/>
        <v>97.961121976574859</v>
      </c>
      <c r="H25" s="9">
        <f t="shared" si="1"/>
        <v>82.838235776063982</v>
      </c>
      <c r="I25" s="9">
        <f t="shared" si="1"/>
        <v>90.137267694332451</v>
      </c>
      <c r="J25" s="9">
        <f t="shared" si="1"/>
        <v>70.745178985346641</v>
      </c>
      <c r="K25" s="9">
        <f t="shared" si="1"/>
        <v>89.301972248500633</v>
      </c>
      <c r="L25" s="9">
        <f t="shared" si="1"/>
        <v>78.505936414337057</v>
      </c>
      <c r="M25" s="23"/>
      <c r="N25" s="23"/>
      <c r="O25" s="23"/>
      <c r="P25" s="23"/>
      <c r="Q25" s="23"/>
      <c r="R25" s="23"/>
      <c r="S25" s="23"/>
      <c r="T25" s="23"/>
    </row>
    <row r="26" spans="2:22" ht="15.95" customHeight="1">
      <c r="B26" s="8">
        <v>2030</v>
      </c>
      <c r="C26" s="9">
        <f t="shared" si="1"/>
        <v>70.244972539750052</v>
      </c>
      <c r="D26" s="9">
        <f t="shared" si="1"/>
        <v>81.069376968075801</v>
      </c>
      <c r="E26" s="9">
        <f t="shared" si="1"/>
        <v>64.373778635434547</v>
      </c>
      <c r="F26" s="9">
        <f t="shared" si="1"/>
        <v>41.035271335361251</v>
      </c>
      <c r="G26" s="9">
        <f t="shared" si="1"/>
        <v>95.349688617885832</v>
      </c>
      <c r="H26" s="9">
        <f t="shared" si="1"/>
        <v>76.206225382864005</v>
      </c>
      <c r="I26" s="9">
        <f t="shared" si="1"/>
        <v>85.512354520629998</v>
      </c>
      <c r="J26" s="9">
        <f t="shared" si="1"/>
        <v>62.677997741855961</v>
      </c>
      <c r="K26" s="9">
        <f t="shared" si="1"/>
        <v>84.340896695742757</v>
      </c>
      <c r="L26" s="9">
        <f t="shared" si="1"/>
        <v>71.064365660446398</v>
      </c>
      <c r="M26" s="23"/>
      <c r="N26" s="23"/>
      <c r="O26" s="23"/>
      <c r="P26" s="23"/>
      <c r="Q26" s="23"/>
      <c r="R26" s="23"/>
      <c r="S26" s="23"/>
      <c r="T26" s="23"/>
    </row>
    <row r="27" spans="2:22" ht="15.95" customHeight="1">
      <c r="B27" s="8">
        <v>2035</v>
      </c>
      <c r="C27" s="9">
        <f t="shared" si="1"/>
        <v>64.199158072448014</v>
      </c>
      <c r="D27" s="9">
        <f t="shared" si="1"/>
        <v>77.974322195705554</v>
      </c>
      <c r="E27" s="9">
        <f t="shared" si="1"/>
        <v>56.520101503482721</v>
      </c>
      <c r="F27" s="9">
        <f t="shared" si="1"/>
        <v>30.51829506773629</v>
      </c>
      <c r="G27" s="9">
        <f t="shared" si="1"/>
        <v>92.569980310437828</v>
      </c>
      <c r="H27" s="9">
        <f t="shared" si="1"/>
        <v>70.551069939864504</v>
      </c>
      <c r="I27" s="9">
        <f t="shared" si="1"/>
        <v>79.885720994398866</v>
      </c>
      <c r="J27" s="9">
        <f t="shared" si="1"/>
        <v>56.76191766083263</v>
      </c>
      <c r="K27" s="9">
        <f t="shared" si="1"/>
        <v>79.688136058986288</v>
      </c>
      <c r="L27" s="9">
        <f t="shared" si="1"/>
        <v>66.521287136242464</v>
      </c>
      <c r="M27" s="23"/>
      <c r="N27" s="23"/>
      <c r="O27" s="23"/>
      <c r="P27" s="23"/>
      <c r="Q27" s="23"/>
      <c r="R27" s="23"/>
      <c r="S27" s="23"/>
      <c r="T27" s="23"/>
    </row>
    <row r="28" spans="2:22" ht="15.95" customHeight="1">
      <c r="B28" s="8">
        <v>2040</v>
      </c>
      <c r="C28" s="9">
        <f t="shared" si="1"/>
        <v>59.544959920385963</v>
      </c>
      <c r="D28" s="9">
        <f t="shared" si="1"/>
        <v>75.423762795714325</v>
      </c>
      <c r="E28" s="9">
        <f t="shared" si="1"/>
        <v>50.484421771236384</v>
      </c>
      <c r="F28" s="9">
        <f t="shared" si="1"/>
        <v>24.970194552598972</v>
      </c>
      <c r="G28" s="9">
        <f t="shared" si="1"/>
        <v>89.224567162415113</v>
      </c>
      <c r="H28" s="9">
        <f t="shared" si="1"/>
        <v>65.557531620869099</v>
      </c>
      <c r="I28" s="9">
        <f t="shared" si="1"/>
        <v>73.261471040381281</v>
      </c>
      <c r="J28" s="9">
        <f t="shared" si="1"/>
        <v>51.691011106716822</v>
      </c>
      <c r="K28" s="9">
        <f t="shared" si="1"/>
        <v>74.276861629772711</v>
      </c>
      <c r="L28" s="9">
        <f t="shared" si="1"/>
        <v>63.820017505728131</v>
      </c>
      <c r="M28" s="23"/>
      <c r="N28" s="23"/>
      <c r="O28" s="23"/>
      <c r="P28" s="23"/>
      <c r="Q28" s="23"/>
      <c r="R28" s="23"/>
      <c r="S28" s="23"/>
      <c r="T28" s="23"/>
    </row>
    <row r="29" spans="2:22" ht="15.95" customHeight="1">
      <c r="B29" s="8">
        <v>2045</v>
      </c>
      <c r="C29" s="9">
        <f t="shared" si="1"/>
        <v>55.435686983759567</v>
      </c>
      <c r="D29" s="9">
        <f t="shared" si="1"/>
        <v>72.654781496629866</v>
      </c>
      <c r="E29" s="9">
        <f t="shared" si="1"/>
        <v>45.794875309117437</v>
      </c>
      <c r="F29" s="9">
        <f t="shared" si="1"/>
        <v>21.851196906206585</v>
      </c>
      <c r="G29" s="9">
        <f t="shared" si="1"/>
        <v>85.064736016010841</v>
      </c>
      <c r="H29" s="9">
        <f t="shared" si="1"/>
        <v>60.515507085263032</v>
      </c>
      <c r="I29" s="9">
        <f t="shared" si="1"/>
        <v>66.897770760422375</v>
      </c>
      <c r="J29" s="9">
        <f t="shared" si="1"/>
        <v>47.452252000469883</v>
      </c>
      <c r="K29" s="9">
        <f t="shared" si="1"/>
        <v>68.013307696277948</v>
      </c>
      <c r="L29" s="9">
        <f t="shared" si="1"/>
        <v>61.443327274805029</v>
      </c>
      <c r="M29" s="23"/>
      <c r="N29" s="23"/>
      <c r="O29" s="23"/>
      <c r="P29" s="23"/>
      <c r="Q29" s="23"/>
      <c r="R29" s="23"/>
      <c r="S29" s="23"/>
      <c r="T29" s="23"/>
    </row>
    <row r="30" spans="2:22" ht="15.95" customHeight="1">
      <c r="B30" s="207">
        <v>2050</v>
      </c>
      <c r="C30" s="10">
        <f t="shared" si="1"/>
        <v>51.608549838932092</v>
      </c>
      <c r="D30" s="10">
        <f t="shared" si="1"/>
        <v>68.899007476188274</v>
      </c>
      <c r="E30" s="10">
        <f t="shared" si="1"/>
        <v>41.551268377285311</v>
      </c>
      <c r="F30" s="10">
        <f t="shared" si="1"/>
        <v>19.784009910630132</v>
      </c>
      <c r="G30" s="10">
        <f t="shared" si="1"/>
        <v>79.987600490316311</v>
      </c>
      <c r="H30" s="10">
        <f t="shared" si="1"/>
        <v>55.706729112630128</v>
      </c>
      <c r="I30" s="10">
        <f t="shared" si="1"/>
        <v>61.077375924468811</v>
      </c>
      <c r="J30" s="10">
        <f t="shared" si="1"/>
        <v>44.046294998611742</v>
      </c>
      <c r="K30" s="10">
        <f t="shared" si="1"/>
        <v>61.773969897205362</v>
      </c>
      <c r="L30" s="10">
        <f t="shared" si="1"/>
        <v>59.007326654117378</v>
      </c>
      <c r="M30" s="23"/>
      <c r="N30" s="23"/>
      <c r="O30" s="23"/>
      <c r="P30" s="23"/>
      <c r="Q30" s="23"/>
      <c r="R30" s="23"/>
      <c r="S30" s="23"/>
      <c r="T30" s="23"/>
    </row>
    <row r="31" spans="2:22" ht="15.95" customHeight="1">
      <c r="M31" s="23"/>
      <c r="N31" s="23"/>
      <c r="O31" s="23"/>
      <c r="P31" s="23"/>
      <c r="Q31" s="23"/>
      <c r="R31" s="23"/>
      <c r="S31" s="23"/>
      <c r="T31" s="23"/>
    </row>
    <row r="32" spans="2:22" ht="15.95" customHeight="1">
      <c r="B32" s="2" t="s">
        <v>89</v>
      </c>
      <c r="C32" s="2"/>
      <c r="D32" s="2"/>
      <c r="E32" s="2"/>
      <c r="F32" s="2"/>
      <c r="G32" s="2"/>
      <c r="H32" s="2"/>
      <c r="I32" s="2"/>
      <c r="J32" s="2"/>
      <c r="K32" s="2"/>
      <c r="L32" s="2"/>
      <c r="N32" s="23"/>
      <c r="O32" s="23"/>
      <c r="P32" s="23"/>
      <c r="Q32" s="23"/>
      <c r="R32" s="23"/>
      <c r="S32" s="23"/>
      <c r="T32" s="23"/>
      <c r="U32" s="23"/>
      <c r="V32" s="23"/>
    </row>
    <row r="33" spans="2:22" ht="15.95" customHeight="1">
      <c r="B33" s="8">
        <v>2015</v>
      </c>
      <c r="C33" s="49">
        <v>51.816200748404142</v>
      </c>
      <c r="D33" s="49">
        <v>50.835616438356162</v>
      </c>
      <c r="E33" s="49">
        <v>53.129607609988106</v>
      </c>
      <c r="F33" s="49">
        <v>50.638613861386141</v>
      </c>
      <c r="G33" s="49">
        <v>52.40059347181009</v>
      </c>
      <c r="H33" s="49">
        <v>50.474320241691849</v>
      </c>
      <c r="I33" s="49">
        <v>51.109042553191493</v>
      </c>
      <c r="J33" s="49">
        <v>49.907542579075425</v>
      </c>
      <c r="K33" s="49">
        <v>54.673267326732685</v>
      </c>
      <c r="L33" s="49">
        <v>51.925287356321839</v>
      </c>
      <c r="N33" s="23"/>
      <c r="O33" s="23"/>
      <c r="P33" s="23"/>
      <c r="Q33" s="23"/>
      <c r="R33" s="23"/>
      <c r="S33" s="23"/>
      <c r="T33" s="23"/>
      <c r="U33" s="23"/>
      <c r="V33" s="23"/>
    </row>
    <row r="34" spans="2:22" ht="15.95" customHeight="1">
      <c r="B34" s="8">
        <v>2020</v>
      </c>
      <c r="C34" s="49">
        <v>51.590888543267646</v>
      </c>
      <c r="D34" s="49">
        <v>49.271202379093673</v>
      </c>
      <c r="E34" s="49">
        <v>53.13141867820093</v>
      </c>
      <c r="F34" s="49">
        <v>50.163029241587836</v>
      </c>
      <c r="G34" s="49">
        <v>53.968014339603542</v>
      </c>
      <c r="H34" s="49">
        <v>50.599840672736889</v>
      </c>
      <c r="I34" s="49">
        <v>51.955287862985301</v>
      </c>
      <c r="J34" s="49">
        <v>48.691039640447009</v>
      </c>
      <c r="K34" s="49">
        <v>55.186569878470017</v>
      </c>
      <c r="L34" s="49">
        <v>51.151569242394835</v>
      </c>
      <c r="N34" s="23"/>
      <c r="O34" s="23"/>
      <c r="P34" s="23"/>
      <c r="Q34" s="23"/>
      <c r="R34" s="23"/>
      <c r="S34" s="23"/>
      <c r="T34" s="23"/>
      <c r="U34" s="23"/>
      <c r="V34" s="23"/>
    </row>
    <row r="35" spans="2:22" ht="15.95" customHeight="1">
      <c r="B35" s="8">
        <v>2025</v>
      </c>
      <c r="C35" s="49">
        <v>50.975718915237557</v>
      </c>
      <c r="D35" s="49">
        <v>48.158525961574831</v>
      </c>
      <c r="E35" s="49">
        <v>52.488564746248628</v>
      </c>
      <c r="F35" s="49">
        <v>49.164759942623363</v>
      </c>
      <c r="G35" s="49">
        <v>54.85115521872784</v>
      </c>
      <c r="H35" s="49">
        <v>50.524249233353672</v>
      </c>
      <c r="I35" s="49">
        <v>52.688281035638717</v>
      </c>
      <c r="J35" s="49">
        <v>47.429045471652785</v>
      </c>
      <c r="K35" s="49">
        <v>55.69038257876209</v>
      </c>
      <c r="L35" s="49">
        <v>49.878596763612919</v>
      </c>
      <c r="N35" s="23"/>
      <c r="O35" s="23"/>
      <c r="P35" s="23"/>
      <c r="Q35" s="23"/>
      <c r="R35" s="23"/>
      <c r="S35" s="23"/>
      <c r="T35" s="23"/>
      <c r="U35" s="23"/>
      <c r="V35" s="23"/>
    </row>
    <row r="36" spans="2:22" ht="15.95" customHeight="1">
      <c r="B36" s="8">
        <v>2030</v>
      </c>
      <c r="C36" s="49">
        <v>50.244912174690441</v>
      </c>
      <c r="D36" s="49">
        <v>47.647678501017687</v>
      </c>
      <c r="E36" s="49">
        <v>51.471567745358868</v>
      </c>
      <c r="F36" s="49">
        <v>47.757023511162359</v>
      </c>
      <c r="G36" s="49">
        <v>55.429162882520714</v>
      </c>
      <c r="H36" s="49">
        <v>50.554749886057849</v>
      </c>
      <c r="I36" s="49">
        <v>53.176887396104547</v>
      </c>
      <c r="J36" s="49">
        <v>46.519211906424914</v>
      </c>
      <c r="K36" s="49">
        <v>56.289350412672029</v>
      </c>
      <c r="L36" s="49">
        <v>48.495887802706321</v>
      </c>
      <c r="N36" s="23"/>
      <c r="O36" s="23"/>
      <c r="P36" s="23"/>
      <c r="Q36" s="23"/>
      <c r="R36" s="23"/>
      <c r="S36" s="23"/>
      <c r="T36" s="23"/>
      <c r="U36" s="23"/>
      <c r="V36" s="23"/>
    </row>
    <row r="37" spans="2:22" ht="15.95" customHeight="1">
      <c r="B37" s="8">
        <v>2035</v>
      </c>
      <c r="C37" s="49">
        <v>49.701543953691299</v>
      </c>
      <c r="D37" s="49">
        <v>47.750512622860249</v>
      </c>
      <c r="E37" s="49">
        <v>50.61550103018638</v>
      </c>
      <c r="F37" s="49">
        <v>45.796249583512513</v>
      </c>
      <c r="G37" s="49">
        <v>55.754195497966876</v>
      </c>
      <c r="H37" s="49">
        <v>50.688312106158399</v>
      </c>
      <c r="I37" s="49">
        <v>53.544631436732359</v>
      </c>
      <c r="J37" s="49">
        <v>45.886794664099611</v>
      </c>
      <c r="K37" s="49">
        <v>57.029624544575483</v>
      </c>
      <c r="L37" s="49">
        <v>47.561067629538556</v>
      </c>
      <c r="N37" s="23"/>
      <c r="O37" s="23"/>
      <c r="P37" s="23"/>
      <c r="Q37" s="23"/>
      <c r="R37" s="23"/>
      <c r="S37" s="23"/>
      <c r="T37" s="23"/>
      <c r="U37" s="23"/>
      <c r="V37" s="23"/>
    </row>
    <row r="38" spans="2:22" ht="15.95" customHeight="1">
      <c r="B38" s="8">
        <v>2040</v>
      </c>
      <c r="C38" s="49">
        <v>49.43141683167908</v>
      </c>
      <c r="D38" s="49">
        <v>48.206131293965072</v>
      </c>
      <c r="E38" s="49">
        <v>50.182254212209749</v>
      </c>
      <c r="F38" s="49">
        <v>43.946162546976645</v>
      </c>
      <c r="G38" s="49">
        <v>56.046344545874376</v>
      </c>
      <c r="H38" s="49">
        <v>50.834325545687278</v>
      </c>
      <c r="I38" s="49">
        <v>53.567744564570432</v>
      </c>
      <c r="J38" s="49">
        <v>45.396115939023247</v>
      </c>
      <c r="K38" s="49">
        <v>57.704266064384413</v>
      </c>
      <c r="L38" s="49">
        <v>47.248402363806662</v>
      </c>
      <c r="N38" s="23"/>
      <c r="O38" s="23"/>
      <c r="P38" s="23"/>
      <c r="Q38" s="23"/>
      <c r="R38" s="23"/>
      <c r="S38" s="23"/>
      <c r="T38" s="23"/>
      <c r="U38" s="23"/>
      <c r="V38" s="23"/>
    </row>
    <row r="39" spans="2:22" ht="15.95" customHeight="1">
      <c r="B39" s="8">
        <v>2045</v>
      </c>
      <c r="C39" s="49">
        <v>49.340907590782614</v>
      </c>
      <c r="D39" s="49">
        <v>48.861281128470644</v>
      </c>
      <c r="E39" s="49">
        <v>50.200139804412402</v>
      </c>
      <c r="F39" s="49">
        <v>42.960727423559504</v>
      </c>
      <c r="G39" s="49">
        <v>56.289075133944721</v>
      </c>
      <c r="H39" s="49">
        <v>50.889931088234562</v>
      </c>
      <c r="I39" s="49">
        <v>53.485034570282416</v>
      </c>
      <c r="J39" s="49">
        <v>44.956785637655173</v>
      </c>
      <c r="K39" s="49">
        <v>58.228740415557667</v>
      </c>
      <c r="L39" s="49">
        <v>47.304421102053411</v>
      </c>
      <c r="N39" s="23"/>
      <c r="O39" s="23"/>
      <c r="P39" s="23"/>
      <c r="Q39" s="23"/>
      <c r="R39" s="23"/>
      <c r="S39" s="23"/>
      <c r="T39" s="23"/>
      <c r="U39" s="23"/>
      <c r="V39" s="23"/>
    </row>
    <row r="40" spans="2:22" ht="15.95" customHeight="1">
      <c r="B40" s="207">
        <v>2050</v>
      </c>
      <c r="C40" s="50">
        <v>49.209017483576304</v>
      </c>
      <c r="D40" s="50">
        <v>49.381414019492802</v>
      </c>
      <c r="E40" s="50">
        <v>50.21234632845762</v>
      </c>
      <c r="F40" s="50">
        <v>42.276086980364646</v>
      </c>
      <c r="G40" s="50">
        <v>56.301294997360337</v>
      </c>
      <c r="H40" s="50">
        <v>50.753109289773604</v>
      </c>
      <c r="I40" s="50">
        <v>53.215265941699172</v>
      </c>
      <c r="J40" s="50">
        <v>44.607906849035459</v>
      </c>
      <c r="K40" s="50">
        <v>58.489043888001753</v>
      </c>
      <c r="L40" s="50">
        <v>47.433831835801179</v>
      </c>
      <c r="N40" s="23"/>
      <c r="O40" s="23"/>
      <c r="P40" s="23"/>
      <c r="Q40" s="23"/>
      <c r="R40" s="23"/>
      <c r="S40" s="23"/>
      <c r="T40" s="23"/>
      <c r="U40" s="23"/>
      <c r="V40" s="23"/>
    </row>
    <row r="41" spans="2:22" ht="15.95" customHeight="1">
      <c r="N41" s="23"/>
      <c r="O41" s="23"/>
      <c r="P41" s="23"/>
      <c r="Q41" s="23"/>
      <c r="R41" s="23"/>
      <c r="S41" s="23"/>
      <c r="T41" s="23"/>
      <c r="U41" s="23"/>
      <c r="V41" s="23"/>
    </row>
    <row r="42" spans="2:22" ht="15.95" customHeight="1">
      <c r="B42" s="2" t="s">
        <v>616</v>
      </c>
      <c r="C42" s="2"/>
      <c r="D42" s="2"/>
      <c r="E42" s="2"/>
      <c r="F42" s="2"/>
      <c r="G42" s="2"/>
      <c r="H42" s="2"/>
      <c r="I42" s="2"/>
      <c r="J42" s="2"/>
      <c r="K42" s="2"/>
      <c r="L42" s="2"/>
      <c r="N42" s="23"/>
      <c r="O42" s="23"/>
      <c r="P42" s="23"/>
      <c r="Q42" s="23"/>
      <c r="R42" s="23"/>
      <c r="S42" s="23"/>
      <c r="T42" s="23"/>
      <c r="U42" s="23"/>
      <c r="V42" s="23"/>
    </row>
    <row r="43" spans="2:22" ht="15.95" customHeight="1">
      <c r="B43" s="16"/>
      <c r="C43" s="16" t="s">
        <v>90</v>
      </c>
      <c r="D43" s="16"/>
      <c r="E43" s="16"/>
      <c r="F43" s="16"/>
      <c r="G43" s="16"/>
      <c r="H43" s="16"/>
      <c r="I43" s="16"/>
      <c r="J43" s="16"/>
      <c r="K43" s="16"/>
      <c r="L43" s="16"/>
      <c r="N43" s="23"/>
      <c r="O43" s="23"/>
      <c r="P43" s="23"/>
      <c r="Q43" s="23"/>
      <c r="R43" s="23"/>
      <c r="S43" s="23"/>
      <c r="T43" s="23"/>
      <c r="U43" s="23"/>
      <c r="V43" s="23"/>
    </row>
    <row r="44" spans="2:22" ht="15.95" customHeight="1">
      <c r="B44" s="8" t="s">
        <v>91</v>
      </c>
      <c r="C44" s="51">
        <v>5.2649682139883848E-5</v>
      </c>
      <c r="D44" s="51">
        <v>1.2490628442397823E-4</v>
      </c>
      <c r="E44" s="51">
        <v>1.4257645745923328E-4</v>
      </c>
      <c r="F44" s="51">
        <v>0</v>
      </c>
      <c r="G44" s="51">
        <v>0</v>
      </c>
      <c r="H44" s="51">
        <v>6.8003498222723229E-5</v>
      </c>
      <c r="I44" s="51">
        <v>1.9271759788083844E-5</v>
      </c>
      <c r="J44" s="51">
        <v>1.6829266735624644E-4</v>
      </c>
      <c r="K44" s="51">
        <v>1.6990299630330251E-4</v>
      </c>
      <c r="L44" s="51">
        <v>9.8074890416539366E-5</v>
      </c>
      <c r="N44" s="23"/>
      <c r="O44" s="23"/>
      <c r="P44" s="23"/>
      <c r="Q44" s="23"/>
      <c r="R44" s="23"/>
      <c r="S44" s="23"/>
      <c r="T44" s="23"/>
      <c r="U44" s="23"/>
      <c r="V44" s="23"/>
    </row>
    <row r="45" spans="2:22" ht="15.95" customHeight="1">
      <c r="B45" s="8" t="s">
        <v>92</v>
      </c>
      <c r="C45" s="51">
        <v>2.5342947267565659E-4</v>
      </c>
      <c r="D45" s="51">
        <v>4.6742030090869073E-4</v>
      </c>
      <c r="E45" s="51">
        <v>8.5907169978963606E-4</v>
      </c>
      <c r="F45" s="51">
        <v>3.5475002274319223E-4</v>
      </c>
      <c r="G45" s="51">
        <v>4.9329253112889428E-5</v>
      </c>
      <c r="H45" s="51">
        <v>2.5544444988659002E-4</v>
      </c>
      <c r="I45" s="51">
        <v>9.6802335540135945E-5</v>
      </c>
      <c r="J45" s="51">
        <v>3.966841304627739E-4</v>
      </c>
      <c r="K45" s="51">
        <v>7.449875492275917E-4</v>
      </c>
      <c r="L45" s="51">
        <v>5.2793258656869113E-4</v>
      </c>
      <c r="N45" s="23"/>
      <c r="O45" s="23"/>
      <c r="P45" s="23"/>
      <c r="Q45" s="23"/>
      <c r="R45" s="23"/>
      <c r="S45" s="23"/>
      <c r="T45" s="23"/>
      <c r="U45" s="23"/>
      <c r="V45" s="23"/>
    </row>
    <row r="46" spans="2:22" ht="15.95" customHeight="1">
      <c r="B46" s="52"/>
      <c r="C46" s="52" t="s">
        <v>93</v>
      </c>
      <c r="D46" s="51"/>
      <c r="E46" s="51"/>
      <c r="F46" s="51"/>
      <c r="G46" s="51"/>
      <c r="H46" s="51"/>
      <c r="I46" s="51"/>
      <c r="J46" s="51"/>
      <c r="K46" s="51"/>
      <c r="L46" s="51"/>
      <c r="N46" s="23"/>
      <c r="O46" s="23"/>
      <c r="P46" s="23"/>
      <c r="Q46" s="23"/>
      <c r="R46" s="23"/>
      <c r="S46" s="23"/>
      <c r="T46" s="23"/>
      <c r="U46" s="23"/>
      <c r="V46" s="23"/>
    </row>
    <row r="47" spans="2:22" ht="15.95" customHeight="1">
      <c r="B47" s="8" t="s">
        <v>94</v>
      </c>
      <c r="C47" s="51">
        <v>8.8019872562466304E-5</v>
      </c>
      <c r="D47" s="51">
        <v>5.2907803767264017E-4</v>
      </c>
      <c r="E47" s="51">
        <v>1.6740401112594133E-4</v>
      </c>
      <c r="F47" s="51">
        <v>-0.33333333333333337</v>
      </c>
      <c r="G47" s="51">
        <v>3.8474647267085204E-5</v>
      </c>
      <c r="H47" s="51">
        <v>1.0192894267156736E-4</v>
      </c>
      <c r="I47" s="51">
        <v>2.7140986642171661E-5</v>
      </c>
      <c r="J47" s="51">
        <v>3.1370122624511254E-4</v>
      </c>
      <c r="K47" s="51">
        <v>-0.11764705882352944</v>
      </c>
      <c r="L47" s="51">
        <v>1.6858453780718328E-4</v>
      </c>
      <c r="N47" s="23"/>
      <c r="O47" s="23"/>
      <c r="P47" s="23"/>
      <c r="Q47" s="23"/>
      <c r="R47" s="23"/>
      <c r="S47" s="23"/>
      <c r="T47" s="23"/>
      <c r="U47" s="23"/>
      <c r="V47" s="23"/>
    </row>
    <row r="48" spans="2:22" ht="15.95" customHeight="1">
      <c r="B48" s="8" t="s">
        <v>95</v>
      </c>
      <c r="C48" s="51">
        <v>5.0341903423711598E-5</v>
      </c>
      <c r="D48" s="51">
        <v>5.1698399565678742E-4</v>
      </c>
      <c r="E48" s="51">
        <v>1.2473358374907558E-4</v>
      </c>
      <c r="F48" s="51">
        <v>-0.15789473684210531</v>
      </c>
      <c r="G48" s="51">
        <v>-4.166666666666663E-2</v>
      </c>
      <c r="H48" s="51">
        <v>3.8897150981671403E-5</v>
      </c>
      <c r="I48" s="51">
        <v>1.103828903782606E-4</v>
      </c>
      <c r="J48" s="51">
        <v>-7.6923076923076872E-2</v>
      </c>
      <c r="K48" s="51">
        <v>-0.1785714285714286</v>
      </c>
      <c r="L48" s="51">
        <v>2.1111221052957303E-4</v>
      </c>
      <c r="N48" s="23"/>
      <c r="O48" s="23"/>
      <c r="P48" s="23"/>
      <c r="Q48" s="23"/>
      <c r="R48" s="23"/>
      <c r="S48" s="23"/>
      <c r="T48" s="23"/>
      <c r="U48" s="23"/>
      <c r="V48" s="23"/>
    </row>
    <row r="49" spans="2:25" ht="15.95" customHeight="1">
      <c r="B49" s="8" t="s">
        <v>96</v>
      </c>
      <c r="C49" s="51">
        <v>3.0931801456278058E-5</v>
      </c>
      <c r="D49" s="51">
        <v>3.2485899610596906E-4</v>
      </c>
      <c r="E49" s="51">
        <v>1.4410634187543548E-4</v>
      </c>
      <c r="F49" s="51">
        <v>-0.17647058823529416</v>
      </c>
      <c r="G49" s="51">
        <v>0</v>
      </c>
      <c r="H49" s="51">
        <v>6.7751562150239846E-5</v>
      </c>
      <c r="I49" s="51">
        <v>-0.19444444444444442</v>
      </c>
      <c r="J49" s="51">
        <v>1.0979897501976344E-4</v>
      </c>
      <c r="K49" s="51">
        <v>1.7201470812737565E-4</v>
      </c>
      <c r="L49" s="51">
        <v>4.4498385159176681E-5</v>
      </c>
      <c r="N49" s="23"/>
      <c r="O49" s="23"/>
      <c r="P49" s="23"/>
      <c r="Q49" s="23"/>
      <c r="R49" s="23"/>
      <c r="S49" s="23"/>
      <c r="T49" s="23"/>
      <c r="U49" s="23"/>
      <c r="V49" s="23"/>
    </row>
    <row r="50" spans="2:25" ht="15.95" customHeight="1">
      <c r="B50" s="8" t="s">
        <v>97</v>
      </c>
      <c r="C50" s="51">
        <v>4.2589687628182742E-5</v>
      </c>
      <c r="D50" s="51">
        <v>2.283418347795175E-4</v>
      </c>
      <c r="E50" s="51">
        <v>0</v>
      </c>
      <c r="F50" s="51">
        <v>2.5897036402256071E-4</v>
      </c>
      <c r="G50" s="51">
        <v>-3.4482758620689613E-2</v>
      </c>
      <c r="H50" s="51">
        <v>4.2531497422368937E-5</v>
      </c>
      <c r="I50" s="51">
        <v>6.0639508579263515E-6</v>
      </c>
      <c r="J50" s="51">
        <v>-2.1276595744680882E-2</v>
      </c>
      <c r="K50" s="51">
        <v>4.037405905633977E-4</v>
      </c>
      <c r="L50" s="51">
        <v>7.1056867110428211E-5</v>
      </c>
      <c r="N50" s="23"/>
      <c r="O50" s="23"/>
      <c r="P50" s="23"/>
      <c r="Q50" s="23"/>
      <c r="R50" s="23"/>
      <c r="S50" s="23"/>
      <c r="T50" s="23"/>
      <c r="U50" s="23"/>
      <c r="V50" s="23"/>
    </row>
    <row r="51" spans="2:25" ht="15.95" customHeight="1">
      <c r="B51" s="8" t="s">
        <v>98</v>
      </c>
      <c r="C51" s="51">
        <v>-7.4666666666666659E-2</v>
      </c>
      <c r="D51" s="51">
        <v>-0.18918918918918914</v>
      </c>
      <c r="E51" s="51">
        <v>-0.11475409836065575</v>
      </c>
      <c r="F51" s="51">
        <v>-0.28000000000000003</v>
      </c>
      <c r="G51" s="51">
        <v>3.0662061893830993E-6</v>
      </c>
      <c r="H51" s="51">
        <v>-0.19444444444444442</v>
      </c>
      <c r="I51" s="51">
        <v>-8.333333333333337E-2</v>
      </c>
      <c r="J51" s="51">
        <v>-0.11764705882352944</v>
      </c>
      <c r="K51" s="51">
        <v>5.1332545202794992E-4</v>
      </c>
      <c r="L51" s="51">
        <v>-1.5625E-2</v>
      </c>
      <c r="N51" s="23"/>
      <c r="O51" s="23"/>
      <c r="P51" s="23"/>
      <c r="Q51" s="23"/>
      <c r="R51" s="23"/>
      <c r="S51" s="23"/>
      <c r="T51" s="23"/>
      <c r="U51" s="23"/>
      <c r="V51" s="23"/>
    </row>
    <row r="52" spans="2:25" ht="15.95" customHeight="1">
      <c r="B52" s="8" t="s">
        <v>99</v>
      </c>
      <c r="C52" s="51">
        <v>-8.9156626506024073E-2</v>
      </c>
      <c r="D52" s="51">
        <v>-6.9767441860465129E-2</v>
      </c>
      <c r="E52" s="51">
        <v>-6.5789473684210509E-2</v>
      </c>
      <c r="F52" s="51">
        <v>-0.30434782608695654</v>
      </c>
      <c r="G52" s="51">
        <v>-0.25</v>
      </c>
      <c r="H52" s="51">
        <v>-3.5087719298245612E-2</v>
      </c>
      <c r="I52" s="51">
        <v>7.6195270572161618E-6</v>
      </c>
      <c r="J52" s="51">
        <v>-2.7027027027026973E-2</v>
      </c>
      <c r="K52" s="51">
        <v>1.2853673403998253E-4</v>
      </c>
      <c r="L52" s="51">
        <v>-0.17948717948717952</v>
      </c>
      <c r="N52" s="23"/>
      <c r="O52" s="23"/>
      <c r="P52" s="23"/>
      <c r="Q52" s="23"/>
      <c r="R52" s="23"/>
      <c r="S52" s="23"/>
      <c r="T52" s="23"/>
      <c r="U52" s="23"/>
      <c r="V52" s="23"/>
    </row>
    <row r="53" spans="2:25" ht="15.95" customHeight="1">
      <c r="B53" s="8" t="s">
        <v>100</v>
      </c>
      <c r="C53" s="51">
        <v>-7.677902621722843E-2</v>
      </c>
      <c r="D53" s="51">
        <v>2.8593129232739106E-5</v>
      </c>
      <c r="E53" s="51">
        <v>-0.17821782178217827</v>
      </c>
      <c r="F53" s="51">
        <v>-0.68421052631578949</v>
      </c>
      <c r="G53" s="51">
        <v>2.4088097433142335E-5</v>
      </c>
      <c r="H53" s="51">
        <v>5.6144665474542947E-5</v>
      </c>
      <c r="I53" s="51">
        <v>8.4572657189710152E-5</v>
      </c>
      <c r="J53" s="51">
        <v>-0.22033898305084743</v>
      </c>
      <c r="K53" s="51">
        <v>-6.0000000000000053E-2</v>
      </c>
      <c r="L53" s="51">
        <v>-9.009009009009028E-3</v>
      </c>
      <c r="N53" s="23"/>
      <c r="O53" s="23"/>
      <c r="P53" s="23"/>
      <c r="Q53" s="23"/>
      <c r="R53" s="23"/>
      <c r="S53" s="23"/>
      <c r="T53" s="23"/>
      <c r="U53" s="23"/>
      <c r="V53" s="23"/>
    </row>
    <row r="54" spans="2:25" ht="15.95" customHeight="1">
      <c r="B54" s="8" t="s">
        <v>101</v>
      </c>
      <c r="C54" s="51">
        <v>-0.11815561959654175</v>
      </c>
      <c r="D54" s="51">
        <v>-8.064516129032262E-2</v>
      </c>
      <c r="E54" s="51">
        <v>-6.0150375939849621E-2</v>
      </c>
      <c r="F54" s="51">
        <v>-0.52941176470588236</v>
      </c>
      <c r="G54" s="51">
        <v>4.7145054829881253E-5</v>
      </c>
      <c r="H54" s="51">
        <v>-0.16249999999999998</v>
      </c>
      <c r="I54" s="51">
        <v>2.9570609203920244E-5</v>
      </c>
      <c r="J54" s="51">
        <v>-0.36986301369863017</v>
      </c>
      <c r="K54" s="51">
        <v>-8.7719298245614086E-2</v>
      </c>
      <c r="L54" s="51">
        <v>-0.13793103448275867</v>
      </c>
      <c r="N54" s="23"/>
      <c r="O54" s="23"/>
      <c r="P54" s="23"/>
      <c r="Q54" s="23"/>
      <c r="R54" s="23"/>
      <c r="S54" s="23"/>
      <c r="T54" s="23"/>
      <c r="U54" s="23"/>
      <c r="V54" s="23"/>
    </row>
    <row r="55" spans="2:25" ht="15.95" customHeight="1">
      <c r="B55" s="8" t="s">
        <v>102</v>
      </c>
      <c r="C55" s="51">
        <v>-0.27984084880636606</v>
      </c>
      <c r="D55" s="51">
        <v>-0.35064935064935066</v>
      </c>
      <c r="E55" s="51">
        <v>-0.18791946308724827</v>
      </c>
      <c r="F55" s="51">
        <v>-0.32558139534883723</v>
      </c>
      <c r="G55" s="51">
        <v>-0.16326530612244894</v>
      </c>
      <c r="H55" s="51">
        <v>-0.29670329670329665</v>
      </c>
      <c r="I55" s="51">
        <v>-0.28301886792452835</v>
      </c>
      <c r="J55" s="51">
        <v>-0.45238095238095233</v>
      </c>
      <c r="K55" s="51">
        <v>-0.22222222222222221</v>
      </c>
      <c r="L55" s="51">
        <v>-0.30000000000000004</v>
      </c>
      <c r="N55" s="23"/>
      <c r="O55" s="23"/>
      <c r="P55" s="23"/>
      <c r="Q55" s="23"/>
      <c r="R55" s="23"/>
      <c r="S55" s="23"/>
      <c r="T55" s="23"/>
      <c r="U55" s="23"/>
      <c r="V55" s="23"/>
    </row>
    <row r="56" spans="2:25" ht="15.95" customHeight="1">
      <c r="B56" s="8" t="s">
        <v>103</v>
      </c>
      <c r="C56" s="51">
        <v>-0.32264957264957261</v>
      </c>
      <c r="D56" s="51">
        <v>-0.46153846153846156</v>
      </c>
      <c r="E56" s="51">
        <v>-0.27551020408163263</v>
      </c>
      <c r="F56" s="51">
        <v>-0.36842105263157898</v>
      </c>
      <c r="G56" s="51">
        <v>7.3032872604796324E-6</v>
      </c>
      <c r="H56" s="51">
        <v>-0.13114754098360659</v>
      </c>
      <c r="I56" s="51">
        <v>-0.30000000000000004</v>
      </c>
      <c r="J56" s="51">
        <v>-0.48837209302325579</v>
      </c>
      <c r="K56" s="51">
        <v>-0.4285714285714286</v>
      </c>
      <c r="L56" s="51">
        <v>-0.41758241758241754</v>
      </c>
      <c r="N56" s="23"/>
      <c r="O56" s="23"/>
      <c r="P56" s="23"/>
      <c r="Q56" s="23"/>
      <c r="R56" s="23"/>
      <c r="S56" s="23"/>
      <c r="T56" s="23"/>
      <c r="U56" s="23"/>
      <c r="V56" s="23"/>
    </row>
    <row r="57" spans="2:25" ht="15.95" customHeight="1">
      <c r="B57" s="207" t="s">
        <v>18</v>
      </c>
      <c r="C57" s="53">
        <v>-0.55425709515859767</v>
      </c>
      <c r="D57" s="53">
        <v>-0.66666666666666674</v>
      </c>
      <c r="E57" s="53">
        <v>-0.56521739130434789</v>
      </c>
      <c r="F57" s="53">
        <v>-0.57575757575757569</v>
      </c>
      <c r="G57" s="53">
        <v>-0.5</v>
      </c>
      <c r="H57" s="53">
        <v>-0.61458333333333326</v>
      </c>
      <c r="I57" s="53">
        <v>-0.6875</v>
      </c>
      <c r="J57" s="53">
        <v>-0.56818181818181812</v>
      </c>
      <c r="K57" s="53">
        <v>-0.26388888888888884</v>
      </c>
      <c r="L57" s="53">
        <v>-0.56989247311827951</v>
      </c>
      <c r="N57" s="23"/>
      <c r="O57" s="23"/>
      <c r="P57" s="23"/>
      <c r="Q57" s="23"/>
      <c r="R57" s="23"/>
      <c r="S57" s="23"/>
      <c r="T57" s="23"/>
      <c r="U57" s="23"/>
      <c r="V57" s="23"/>
    </row>
    <row r="58" spans="2:25" ht="15.95" customHeight="1">
      <c r="N58" s="23"/>
      <c r="O58" s="23"/>
      <c r="P58" s="23"/>
      <c r="Q58" s="23"/>
      <c r="R58" s="23"/>
      <c r="S58" s="23"/>
      <c r="T58" s="23"/>
      <c r="U58" s="23"/>
      <c r="V58" s="23"/>
    </row>
    <row r="59" spans="2:25" ht="15.95" customHeight="1">
      <c r="B59" t="s">
        <v>104</v>
      </c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</row>
    <row r="60" spans="2:25" ht="15.95" customHeight="1">
      <c r="B60" t="s">
        <v>105</v>
      </c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</row>
    <row r="61" spans="2:25" ht="15.95" customHeight="1">
      <c r="B61" t="s">
        <v>106</v>
      </c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</row>
    <row r="62" spans="2:25" ht="15.95" customHeight="1">
      <c r="B62" t="s">
        <v>107</v>
      </c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</row>
    <row r="63" spans="2:25">
      <c r="B63" t="s">
        <v>108</v>
      </c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</row>
    <row r="64" spans="2:25"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</row>
    <row r="65" spans="10:35">
      <c r="J65" s="23"/>
      <c r="K65" s="23"/>
      <c r="L65" s="23"/>
      <c r="M65" s="23"/>
      <c r="N65" s="23"/>
      <c r="O65" s="23"/>
      <c r="P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</row>
    <row r="66" spans="10:35"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</row>
  </sheetData>
  <phoneticPr fontId="4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54"/>
  <sheetViews>
    <sheetView showGridLines="0" zoomScaleNormal="100" workbookViewId="0"/>
  </sheetViews>
  <sheetFormatPr defaultRowHeight="13.5"/>
  <cols>
    <col min="1" max="1" width="2.625" customWidth="1"/>
    <col min="2" max="2" width="6.625" customWidth="1"/>
    <col min="3" max="9" width="8.625" customWidth="1"/>
    <col min="10" max="10" width="1.625" customWidth="1"/>
    <col min="11" max="15" width="8.625" customWidth="1"/>
    <col min="16" max="16" width="1.625" customWidth="1"/>
    <col min="17" max="20" width="8.625" customWidth="1"/>
    <col min="21" max="21" width="1.625" customWidth="1"/>
    <col min="22" max="22" width="7.625" customWidth="1"/>
    <col min="23" max="23" width="1.625" customWidth="1"/>
    <col min="24" max="24" width="8.625" customWidth="1"/>
  </cols>
  <sheetData>
    <row r="1" spans="1:24">
      <c r="A1" s="54"/>
    </row>
    <row r="2" spans="1:24" ht="15.95" customHeight="1">
      <c r="B2" t="s">
        <v>181</v>
      </c>
    </row>
    <row r="3" spans="1:24" ht="15.9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30" customHeight="1">
      <c r="B4" s="8" t="s">
        <v>2</v>
      </c>
      <c r="C4" s="276" t="s">
        <v>110</v>
      </c>
      <c r="D4" s="276" t="s">
        <v>111</v>
      </c>
      <c r="E4" s="276" t="s">
        <v>112</v>
      </c>
      <c r="F4" s="276" t="s">
        <v>113</v>
      </c>
      <c r="G4" s="278" t="s">
        <v>621</v>
      </c>
      <c r="H4" s="278"/>
      <c r="I4" s="278"/>
      <c r="J4" s="212"/>
      <c r="K4" s="276" t="s">
        <v>114</v>
      </c>
      <c r="L4" s="276" t="s">
        <v>115</v>
      </c>
      <c r="M4" s="278" t="s">
        <v>116</v>
      </c>
      <c r="N4" s="278"/>
      <c r="O4" s="278"/>
      <c r="P4" s="212"/>
      <c r="Q4" s="278" t="s">
        <v>117</v>
      </c>
      <c r="R4" s="278"/>
      <c r="S4" s="278"/>
      <c r="T4" s="214" t="s">
        <v>118</v>
      </c>
      <c r="U4" s="8"/>
      <c r="V4" s="276" t="s">
        <v>119</v>
      </c>
      <c r="W4" s="8"/>
      <c r="X4" s="276" t="s">
        <v>120</v>
      </c>
    </row>
    <row r="5" spans="1:24" ht="44.1" customHeight="1">
      <c r="B5" s="8"/>
      <c r="C5" s="277"/>
      <c r="D5" s="277"/>
      <c r="E5" s="277"/>
      <c r="F5" s="277"/>
      <c r="G5" s="213" t="s">
        <v>121</v>
      </c>
      <c r="H5" s="213" t="s">
        <v>122</v>
      </c>
      <c r="I5" s="213" t="s">
        <v>123</v>
      </c>
      <c r="J5" s="212"/>
      <c r="K5" s="277"/>
      <c r="L5" s="277"/>
      <c r="M5" s="213" t="s">
        <v>121</v>
      </c>
      <c r="N5" s="213" t="s">
        <v>122</v>
      </c>
      <c r="O5" s="213" t="s">
        <v>123</v>
      </c>
      <c r="P5" s="212"/>
      <c r="Q5" s="57" t="s">
        <v>124</v>
      </c>
      <c r="R5" s="213" t="s">
        <v>125</v>
      </c>
      <c r="S5" s="213" t="s">
        <v>126</v>
      </c>
      <c r="T5" s="213" t="s">
        <v>123</v>
      </c>
      <c r="U5" s="8"/>
      <c r="V5" s="277"/>
      <c r="W5" s="8"/>
      <c r="X5" s="277"/>
    </row>
    <row r="6" spans="1:24" ht="18" customHeight="1">
      <c r="B6" s="2"/>
      <c r="C6" s="207" t="s">
        <v>127</v>
      </c>
      <c r="D6" s="207" t="s">
        <v>677</v>
      </c>
      <c r="E6" s="207" t="s">
        <v>678</v>
      </c>
      <c r="F6" s="207" t="s">
        <v>128</v>
      </c>
      <c r="G6" s="207" t="s">
        <v>679</v>
      </c>
      <c r="H6" s="207" t="s">
        <v>128</v>
      </c>
      <c r="I6" s="207" t="s">
        <v>679</v>
      </c>
      <c r="J6" s="14"/>
      <c r="K6" s="207" t="s">
        <v>129</v>
      </c>
      <c r="L6" s="207" t="s">
        <v>128</v>
      </c>
      <c r="M6" s="207" t="s">
        <v>679</v>
      </c>
      <c r="N6" s="207" t="s">
        <v>128</v>
      </c>
      <c r="O6" s="207" t="s">
        <v>679</v>
      </c>
      <c r="P6" s="14"/>
      <c r="Q6" s="207" t="s">
        <v>130</v>
      </c>
      <c r="R6" s="207" t="s">
        <v>130</v>
      </c>
      <c r="S6" s="207" t="s">
        <v>128</v>
      </c>
      <c r="T6" s="207" t="s">
        <v>679</v>
      </c>
      <c r="V6" s="207" t="s">
        <v>679</v>
      </c>
      <c r="X6" s="207" t="s">
        <v>679</v>
      </c>
    </row>
    <row r="7" spans="1:24" ht="15.95" customHeight="1">
      <c r="B7" s="16" t="s">
        <v>131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X7" s="210"/>
    </row>
    <row r="8" spans="1:24" ht="14.1" customHeight="1">
      <c r="B8" s="8">
        <v>2000</v>
      </c>
      <c r="C8" s="58">
        <v>1229.8430000000001</v>
      </c>
      <c r="D8" s="59">
        <v>97.474709373472876</v>
      </c>
      <c r="E8" s="59">
        <v>119.87858900000001</v>
      </c>
      <c r="F8" s="60">
        <v>0.45193898733415566</v>
      </c>
      <c r="G8" s="61">
        <v>57.076999999999998</v>
      </c>
      <c r="H8" s="60">
        <v>0.23249294812271143</v>
      </c>
      <c r="I8" s="61">
        <v>13.27</v>
      </c>
      <c r="J8" s="62"/>
      <c r="K8" s="59">
        <v>31.828058000000002</v>
      </c>
      <c r="L8" s="60">
        <v>0.56999999999999995</v>
      </c>
      <c r="M8" s="59">
        <v>42.186</v>
      </c>
      <c r="N8" s="60">
        <v>0.11257289148058598</v>
      </c>
      <c r="O8" s="59">
        <v>4.7489999999999997</v>
      </c>
      <c r="P8" s="63"/>
      <c r="Q8" s="52"/>
      <c r="R8" s="52"/>
      <c r="S8" s="52"/>
      <c r="T8" s="59">
        <v>0.23300000000000001</v>
      </c>
      <c r="U8" s="52"/>
      <c r="V8" s="59">
        <v>0.80300000000000005</v>
      </c>
      <c r="W8" s="52"/>
      <c r="X8" s="63">
        <v>19.055</v>
      </c>
    </row>
    <row r="9" spans="1:24" ht="14.1" customHeight="1">
      <c r="B9" s="8">
        <v>2001</v>
      </c>
      <c r="C9" s="58">
        <v>1173.8579999999999</v>
      </c>
      <c r="D9" s="59">
        <v>93.568745964162616</v>
      </c>
      <c r="E9" s="59">
        <v>109.836421</v>
      </c>
      <c r="F9" s="60">
        <v>0.44538862451846817</v>
      </c>
      <c r="G9" s="61">
        <v>52.54</v>
      </c>
      <c r="H9" s="60">
        <v>0.23311762466692043</v>
      </c>
      <c r="I9" s="61">
        <v>12.247999999999999</v>
      </c>
      <c r="J9" s="62"/>
      <c r="K9" s="59">
        <v>30.717192000000001</v>
      </c>
      <c r="L9" s="60">
        <v>0.57999999999999996</v>
      </c>
      <c r="M9" s="59">
        <v>38.706000000000003</v>
      </c>
      <c r="N9" s="60">
        <v>0.11649356688885444</v>
      </c>
      <c r="O9" s="59">
        <v>4.5090000000000003</v>
      </c>
      <c r="P9" s="63"/>
      <c r="Q9" s="52"/>
      <c r="R9" s="52"/>
      <c r="S9" s="52"/>
      <c r="T9" s="59">
        <v>0.21299999999999999</v>
      </c>
      <c r="U9" s="52"/>
      <c r="V9" s="59">
        <v>0.71799999999999997</v>
      </c>
      <c r="W9" s="52"/>
      <c r="X9" s="63">
        <v>17.687999999999999</v>
      </c>
    </row>
    <row r="10" spans="1:24" ht="14.1" customHeight="1">
      <c r="B10" s="8">
        <v>2002</v>
      </c>
      <c r="C10" s="58">
        <v>1151.0160000000001</v>
      </c>
      <c r="D10" s="59">
        <v>91.017621822806973</v>
      </c>
      <c r="E10" s="59">
        <v>104.762739</v>
      </c>
      <c r="F10" s="60">
        <v>0.43766637475065506</v>
      </c>
      <c r="G10" s="61">
        <v>50.52</v>
      </c>
      <c r="H10" s="60">
        <v>0.23169041963578782</v>
      </c>
      <c r="I10" s="61">
        <v>11.705</v>
      </c>
      <c r="J10" s="62"/>
      <c r="K10" s="59">
        <v>30.685845</v>
      </c>
      <c r="L10" s="60">
        <v>0.59599999999999997</v>
      </c>
      <c r="M10" s="59">
        <v>37.606999999999999</v>
      </c>
      <c r="N10" s="60">
        <v>0.11620177094689818</v>
      </c>
      <c r="O10" s="59">
        <v>4.37</v>
      </c>
      <c r="P10" s="63"/>
      <c r="Q10" s="52"/>
      <c r="R10" s="52"/>
      <c r="S10" s="52"/>
      <c r="T10" s="59">
        <v>0.19</v>
      </c>
      <c r="U10" s="52"/>
      <c r="V10" s="59">
        <v>0.65300000000000002</v>
      </c>
      <c r="W10" s="52"/>
      <c r="X10" s="63">
        <v>16.917999999999999</v>
      </c>
    </row>
    <row r="11" spans="1:24" ht="14.1" customHeight="1">
      <c r="B11" s="8">
        <v>2003</v>
      </c>
      <c r="C11" s="58">
        <v>1160.0830000000001</v>
      </c>
      <c r="D11" s="59">
        <v>89.681259875370984</v>
      </c>
      <c r="E11" s="59">
        <v>104.037705</v>
      </c>
      <c r="F11" s="60">
        <v>0.45099531671440751</v>
      </c>
      <c r="G11" s="61">
        <v>50.212000000000003</v>
      </c>
      <c r="H11" s="60">
        <v>0.23609894049231259</v>
      </c>
      <c r="I11" s="61">
        <v>11.855</v>
      </c>
      <c r="J11" s="62"/>
      <c r="K11" s="59">
        <v>30.456878</v>
      </c>
      <c r="L11" s="60">
        <v>0.60199999999999998</v>
      </c>
      <c r="M11" s="59">
        <v>36.978999999999999</v>
      </c>
      <c r="N11" s="60">
        <v>0.11609291760188215</v>
      </c>
      <c r="O11" s="59">
        <v>4.2930000000000001</v>
      </c>
      <c r="P11" s="63"/>
      <c r="Q11" s="52"/>
      <c r="R11" s="52"/>
      <c r="S11" s="52"/>
      <c r="T11" s="59">
        <v>0.18099999999999999</v>
      </c>
      <c r="U11" s="52"/>
      <c r="V11" s="59">
        <v>0.63400000000000001</v>
      </c>
      <c r="W11" s="52"/>
      <c r="X11" s="63">
        <v>16.963000000000001</v>
      </c>
    </row>
    <row r="12" spans="1:24" ht="14.1" customHeight="1">
      <c r="B12" s="8">
        <v>2004</v>
      </c>
      <c r="C12" s="58">
        <v>1189.049</v>
      </c>
      <c r="D12" s="59">
        <v>88.759718901407751</v>
      </c>
      <c r="E12" s="59">
        <v>105.539655</v>
      </c>
      <c r="F12" s="60">
        <v>0.45478024875341555</v>
      </c>
      <c r="G12" s="61">
        <v>51.819000000000003</v>
      </c>
      <c r="H12" s="60">
        <v>0.23748046083482893</v>
      </c>
      <c r="I12" s="61">
        <v>12.305999999999999</v>
      </c>
      <c r="J12" s="62"/>
      <c r="K12" s="59">
        <v>30.891614000000001</v>
      </c>
      <c r="L12" s="60">
        <v>0.60399999999999998</v>
      </c>
      <c r="M12" s="59">
        <v>37.981000000000002</v>
      </c>
      <c r="N12" s="60">
        <v>0.11187172533635238</v>
      </c>
      <c r="O12" s="59">
        <v>4.2489999999999997</v>
      </c>
      <c r="P12" s="63"/>
      <c r="Q12" s="52"/>
      <c r="R12" s="52"/>
      <c r="S12" s="52"/>
      <c r="T12" s="59">
        <v>0.16900000000000001</v>
      </c>
      <c r="U12" s="52"/>
      <c r="V12" s="59">
        <v>0.61</v>
      </c>
      <c r="W12" s="52"/>
      <c r="X12" s="63">
        <v>17.334</v>
      </c>
    </row>
    <row r="13" spans="1:24" ht="14.1" customHeight="1">
      <c r="B13" s="8">
        <v>2005</v>
      </c>
      <c r="C13" s="58">
        <v>1236.175</v>
      </c>
      <c r="D13" s="59">
        <v>86.228235484458111</v>
      </c>
      <c r="E13" s="59">
        <v>106.593189</v>
      </c>
      <c r="F13" s="60">
        <v>0.43913523570691854</v>
      </c>
      <c r="G13" s="61">
        <v>48.25</v>
      </c>
      <c r="H13" s="60">
        <v>0.26424870466321243</v>
      </c>
      <c r="I13" s="61">
        <v>12.75</v>
      </c>
      <c r="J13" s="62"/>
      <c r="K13" s="59">
        <v>30.952325999999999</v>
      </c>
      <c r="L13" s="60">
        <v>0.60299999999999998</v>
      </c>
      <c r="M13" s="59">
        <v>37.607999999999997</v>
      </c>
      <c r="N13" s="60">
        <v>0.11768772601574133</v>
      </c>
      <c r="O13" s="59">
        <v>4.4260000000000002</v>
      </c>
      <c r="P13" s="63"/>
      <c r="Q13" s="52"/>
      <c r="R13" s="52"/>
      <c r="S13" s="52"/>
      <c r="T13" s="59">
        <v>0.159</v>
      </c>
      <c r="U13" s="52"/>
      <c r="V13" s="59">
        <v>0.56499999999999995</v>
      </c>
      <c r="W13" s="52"/>
      <c r="X13" s="63">
        <v>17.899999999999999</v>
      </c>
    </row>
    <row r="14" spans="1:24" ht="14.1" customHeight="1">
      <c r="B14" s="8">
        <v>2006</v>
      </c>
      <c r="C14" s="58">
        <v>1290.3910000000001</v>
      </c>
      <c r="D14" s="59">
        <v>84.326889291695309</v>
      </c>
      <c r="E14" s="59">
        <v>108.81465900000001</v>
      </c>
      <c r="F14" s="60">
        <v>0.43335779620285636</v>
      </c>
      <c r="G14" s="61">
        <v>49.883000000000003</v>
      </c>
      <c r="H14" s="60">
        <v>0.26303550307720064</v>
      </c>
      <c r="I14" s="61">
        <v>13.121</v>
      </c>
      <c r="J14" s="62"/>
      <c r="K14" s="59">
        <v>31.107617999999999</v>
      </c>
      <c r="L14" s="60">
        <v>0.60599999999999998</v>
      </c>
      <c r="M14" s="59">
        <v>36.906999999999996</v>
      </c>
      <c r="N14" s="60">
        <v>0.121819708998293</v>
      </c>
      <c r="O14" s="59">
        <v>4.4960000000000004</v>
      </c>
      <c r="P14" s="63"/>
      <c r="Q14" s="52"/>
      <c r="R14" s="52"/>
      <c r="S14" s="52"/>
      <c r="T14" s="59">
        <v>0.14799999999999999</v>
      </c>
      <c r="U14" s="52"/>
      <c r="V14" s="59">
        <v>0.53500000000000003</v>
      </c>
      <c r="W14" s="52"/>
      <c r="X14" s="63">
        <v>18.3</v>
      </c>
    </row>
    <row r="15" spans="1:24" ht="14.1" customHeight="1">
      <c r="B15" s="8">
        <v>2007</v>
      </c>
      <c r="C15" s="58">
        <v>1060.741</v>
      </c>
      <c r="D15" s="59">
        <v>85.460049154317602</v>
      </c>
      <c r="E15" s="59">
        <v>90.650977999999995</v>
      </c>
      <c r="F15" s="60">
        <v>0.47565428318505648</v>
      </c>
      <c r="G15" s="61">
        <v>45.237000000000002</v>
      </c>
      <c r="H15" s="60">
        <v>0.30844220439021153</v>
      </c>
      <c r="I15" s="61">
        <v>13.952999999999999</v>
      </c>
      <c r="J15" s="62"/>
      <c r="K15" s="59">
        <v>31.265754000000001</v>
      </c>
      <c r="L15" s="60">
        <v>0.61399999999999999</v>
      </c>
      <c r="M15" s="59">
        <v>37.124000000000002</v>
      </c>
      <c r="N15" s="60">
        <v>0.12587544445641632</v>
      </c>
      <c r="O15" s="59">
        <v>4.673</v>
      </c>
      <c r="P15" s="63"/>
      <c r="Q15" s="52"/>
      <c r="R15" s="52"/>
      <c r="S15" s="52"/>
      <c r="T15" s="59">
        <v>0.14499999999999999</v>
      </c>
      <c r="U15" s="52"/>
      <c r="V15" s="59">
        <v>0.54200000000000004</v>
      </c>
      <c r="W15" s="52"/>
      <c r="X15" s="63">
        <v>19.312999999999999</v>
      </c>
    </row>
    <row r="16" spans="1:24" ht="14.1" customHeight="1">
      <c r="B16" s="8">
        <v>2008</v>
      </c>
      <c r="C16" s="58">
        <v>1093.519</v>
      </c>
      <c r="D16" s="59">
        <v>83.005194239880609</v>
      </c>
      <c r="E16" s="59">
        <v>90.767757000000003</v>
      </c>
      <c r="F16" s="60">
        <v>0.47267125674085225</v>
      </c>
      <c r="G16" s="61">
        <v>40.109000000000002</v>
      </c>
      <c r="H16" s="60">
        <v>0.33949986287366923</v>
      </c>
      <c r="I16" s="61">
        <v>13.617000000000001</v>
      </c>
      <c r="J16" s="62"/>
      <c r="K16" s="59">
        <v>30.627455000000001</v>
      </c>
      <c r="L16" s="60">
        <v>0.61899999999999999</v>
      </c>
      <c r="M16" s="59">
        <v>37.856000000000002</v>
      </c>
      <c r="N16" s="60">
        <v>0.13506445477599324</v>
      </c>
      <c r="O16" s="59">
        <v>5.1130000000000004</v>
      </c>
      <c r="P16" s="63"/>
      <c r="Q16" s="52"/>
      <c r="R16" s="52"/>
      <c r="S16" s="52"/>
      <c r="T16" s="59">
        <v>0.14599999999999999</v>
      </c>
      <c r="U16" s="52"/>
      <c r="V16" s="59">
        <v>0.54800000000000004</v>
      </c>
      <c r="W16" s="52"/>
      <c r="X16" s="63">
        <v>19.423999999999999</v>
      </c>
    </row>
    <row r="17" spans="2:24" ht="14.1" customHeight="1">
      <c r="B17" s="8">
        <v>2009</v>
      </c>
      <c r="C17" s="58">
        <v>788.41</v>
      </c>
      <c r="D17" s="59">
        <v>86.660004312477014</v>
      </c>
      <c r="E17" s="59">
        <v>68.323614000000006</v>
      </c>
      <c r="F17" s="60">
        <v>0.54555497774000838</v>
      </c>
      <c r="G17" s="61">
        <v>34.204000000000001</v>
      </c>
      <c r="H17" s="60">
        <v>0.3672669863173898</v>
      </c>
      <c r="I17" s="61">
        <v>12.561999999999999</v>
      </c>
      <c r="J17" s="62"/>
      <c r="K17" s="59">
        <v>26.267952000000001</v>
      </c>
      <c r="L17" s="60">
        <v>0.63100000000000001</v>
      </c>
      <c r="M17" s="59">
        <v>29.006</v>
      </c>
      <c r="N17" s="60">
        <v>0.17324001930635041</v>
      </c>
      <c r="O17" s="59">
        <v>5.0250000000000004</v>
      </c>
      <c r="P17" s="63"/>
      <c r="Q17" s="52"/>
      <c r="R17" s="52"/>
      <c r="S17" s="52"/>
      <c r="T17" s="59">
        <v>0.14499999999999999</v>
      </c>
      <c r="U17" s="52"/>
      <c r="V17" s="59">
        <v>0.54300000000000004</v>
      </c>
      <c r="W17" s="52"/>
      <c r="X17" s="63">
        <v>18.274999999999999</v>
      </c>
    </row>
    <row r="18" spans="2:24" ht="14.1" customHeight="1">
      <c r="B18" s="8">
        <v>2010</v>
      </c>
      <c r="C18" s="58">
        <v>813.12599999999998</v>
      </c>
      <c r="D18" s="59">
        <v>89.66610832761468</v>
      </c>
      <c r="E18" s="59">
        <v>72.909844000000007</v>
      </c>
      <c r="F18" s="60">
        <v>0.56588277831479994</v>
      </c>
      <c r="G18" s="61">
        <v>37.902999999999999</v>
      </c>
      <c r="H18" s="60">
        <v>0.35487956098461865</v>
      </c>
      <c r="I18" s="61">
        <v>13.451000000000001</v>
      </c>
      <c r="J18" s="62"/>
      <c r="K18" s="59">
        <v>27.363328000000003</v>
      </c>
      <c r="L18" s="60">
        <v>0.625</v>
      </c>
      <c r="M18" s="59">
        <v>32.35</v>
      </c>
      <c r="N18" s="60">
        <v>0.14791344667697062</v>
      </c>
      <c r="O18" s="59">
        <v>4.7850000000000001</v>
      </c>
      <c r="P18" s="63"/>
      <c r="Q18" s="52"/>
      <c r="R18" s="52"/>
      <c r="S18" s="52"/>
      <c r="T18" s="59">
        <v>0.155</v>
      </c>
      <c r="U18" s="52"/>
      <c r="V18" s="59">
        <v>0.53200000000000003</v>
      </c>
      <c r="W18" s="52"/>
      <c r="X18" s="63">
        <v>18.922999999999998</v>
      </c>
    </row>
    <row r="19" spans="2:24" ht="14.1" customHeight="1">
      <c r="B19" s="8">
        <v>2011</v>
      </c>
      <c r="C19" s="58">
        <v>834.11699999999996</v>
      </c>
      <c r="D19" s="59">
        <v>90.34051937557922</v>
      </c>
      <c r="E19" s="59">
        <v>75.354562999999999</v>
      </c>
      <c r="F19" s="60">
        <v>0.55728033357430673</v>
      </c>
      <c r="G19" s="61">
        <v>40.661000000000001</v>
      </c>
      <c r="H19" s="60">
        <v>0.35547576301615796</v>
      </c>
      <c r="I19" s="61">
        <v>14.454000000000001</v>
      </c>
      <c r="J19" s="62"/>
      <c r="K19" s="59">
        <v>26.609286000000001</v>
      </c>
      <c r="L19" s="60">
        <v>0.63</v>
      </c>
      <c r="M19" s="59">
        <v>32.064</v>
      </c>
      <c r="N19" s="60">
        <v>0.1532559880239521</v>
      </c>
      <c r="O19" s="59">
        <v>4.9139999999999997</v>
      </c>
      <c r="P19" s="63"/>
      <c r="Q19" s="52"/>
      <c r="R19" s="52"/>
      <c r="S19" s="52"/>
      <c r="T19" s="59">
        <v>0.20499999999999999</v>
      </c>
      <c r="U19" s="52"/>
      <c r="V19" s="59">
        <v>0.52</v>
      </c>
      <c r="W19" s="52"/>
      <c r="X19" s="63">
        <v>20.093</v>
      </c>
    </row>
    <row r="20" spans="2:24" ht="14.1" customHeight="1">
      <c r="B20" s="8">
        <v>2012</v>
      </c>
      <c r="C20" s="58">
        <v>882.79700000000003</v>
      </c>
      <c r="D20" s="59">
        <v>88.823614035842894</v>
      </c>
      <c r="E20" s="59">
        <v>78.413219999999995</v>
      </c>
      <c r="F20" s="60">
        <v>0.55137930917300348</v>
      </c>
      <c r="G20" s="61">
        <v>39.622</v>
      </c>
      <c r="H20" s="60">
        <v>0.36285397001665742</v>
      </c>
      <c r="I20" s="61">
        <v>14.377000000000001</v>
      </c>
      <c r="J20" s="62"/>
      <c r="K20" s="59">
        <v>25.956892</v>
      </c>
      <c r="L20" s="60">
        <v>0.63700000000000001</v>
      </c>
      <c r="M20" s="59">
        <v>31.01</v>
      </c>
      <c r="N20" s="60">
        <v>0.1712028377942599</v>
      </c>
      <c r="O20" s="59">
        <v>5.3090000000000002</v>
      </c>
      <c r="P20" s="63"/>
      <c r="Q20" s="58">
        <v>37.28</v>
      </c>
      <c r="R20" s="58">
        <v>5.7</v>
      </c>
      <c r="S20" s="64">
        <v>0.15289699570815452</v>
      </c>
      <c r="T20" s="59">
        <v>0.19600000000000001</v>
      </c>
      <c r="U20" s="52"/>
      <c r="V20" s="59">
        <v>0.437</v>
      </c>
      <c r="W20" s="52"/>
      <c r="X20" s="63">
        <v>20.318999999999999</v>
      </c>
    </row>
    <row r="21" spans="2:24" ht="14.1" customHeight="1">
      <c r="B21" s="8">
        <v>2013</v>
      </c>
      <c r="C21" s="58">
        <v>980.02499999999998</v>
      </c>
      <c r="D21" s="59">
        <v>88.98793908318666</v>
      </c>
      <c r="E21" s="59">
        <v>87.210404999999994</v>
      </c>
      <c r="F21" s="60">
        <v>0.56118058212800692</v>
      </c>
      <c r="G21" s="61">
        <v>43.514000000000003</v>
      </c>
      <c r="H21" s="60">
        <v>0.36631888587581007</v>
      </c>
      <c r="I21" s="61">
        <v>15.94</v>
      </c>
      <c r="J21" s="62"/>
      <c r="K21" s="59">
        <v>26.240612000000002</v>
      </c>
      <c r="L21" s="60">
        <v>0.63900000000000001</v>
      </c>
      <c r="M21" s="59">
        <v>30.353000000000002</v>
      </c>
      <c r="N21" s="60">
        <v>0.17055974697723453</v>
      </c>
      <c r="O21" s="59">
        <v>5.1769999999999996</v>
      </c>
      <c r="P21" s="63"/>
      <c r="Q21" s="58">
        <v>245.071</v>
      </c>
      <c r="R21" s="58">
        <v>12.9</v>
      </c>
      <c r="S21" s="64">
        <v>5.2637807002868554E-2</v>
      </c>
      <c r="T21" s="59">
        <v>0.23</v>
      </c>
      <c r="U21" s="52"/>
      <c r="V21" s="59">
        <v>0.38800000000000001</v>
      </c>
      <c r="W21" s="52"/>
      <c r="X21" s="63">
        <v>21.734999999999999</v>
      </c>
    </row>
    <row r="22" spans="2:24" ht="14.1" customHeight="1">
      <c r="B22" s="8">
        <v>2014</v>
      </c>
      <c r="C22" s="58">
        <v>892.26099999999997</v>
      </c>
      <c r="D22" s="59">
        <v>84.818842244589874</v>
      </c>
      <c r="E22" s="59">
        <v>75.680544999999995</v>
      </c>
      <c r="F22" s="60">
        <v>0.54856482576286536</v>
      </c>
      <c r="G22" s="61">
        <v>41.113</v>
      </c>
      <c r="H22" s="60">
        <v>0.40001945856541726</v>
      </c>
      <c r="I22" s="61">
        <v>16.446000000000002</v>
      </c>
      <c r="J22" s="62"/>
      <c r="K22" s="59">
        <v>26.47852</v>
      </c>
      <c r="L22" s="60">
        <v>0.63900000000000001</v>
      </c>
      <c r="M22" s="59">
        <v>31.433</v>
      </c>
      <c r="N22" s="60">
        <v>0.16056373874590399</v>
      </c>
      <c r="O22" s="59">
        <v>5.0469999999999997</v>
      </c>
      <c r="P22" s="63"/>
      <c r="Q22" s="58">
        <v>363.16500000000002</v>
      </c>
      <c r="R22" s="58">
        <v>68.831000000000003</v>
      </c>
      <c r="S22" s="64">
        <v>0.18953092946732203</v>
      </c>
      <c r="T22" s="59">
        <v>1.843</v>
      </c>
      <c r="U22" s="52"/>
      <c r="V22" s="59">
        <v>0.313</v>
      </c>
      <c r="W22" s="52"/>
      <c r="X22" s="63">
        <v>23.649000000000001</v>
      </c>
    </row>
    <row r="23" spans="2:24" ht="14.1" customHeight="1">
      <c r="B23" s="8">
        <v>2015</v>
      </c>
      <c r="C23" s="58">
        <v>909.29899999999998</v>
      </c>
      <c r="D23" s="59">
        <v>82.545907341809453</v>
      </c>
      <c r="E23" s="59">
        <v>75.058910999999995</v>
      </c>
      <c r="F23" s="60">
        <v>0.55462284683036056</v>
      </c>
      <c r="G23" s="61">
        <v>39.100999999999999</v>
      </c>
      <c r="H23" s="60">
        <v>0.42441369785938976</v>
      </c>
      <c r="I23" s="61">
        <v>16.594999999999999</v>
      </c>
      <c r="J23" s="62"/>
      <c r="K23" s="59">
        <v>26.228065999999998</v>
      </c>
      <c r="L23" s="60">
        <v>0.64300000000000002</v>
      </c>
      <c r="M23" s="59">
        <v>31.783000000000001</v>
      </c>
      <c r="N23" s="60">
        <v>0.1636724034861404</v>
      </c>
      <c r="O23" s="59">
        <v>5.202</v>
      </c>
      <c r="P23" s="63"/>
      <c r="Q23" s="58">
        <v>420.52759999999995</v>
      </c>
      <c r="R23" s="58">
        <v>206.77600000000001</v>
      </c>
      <c r="S23" s="64">
        <v>0.4917061329624976</v>
      </c>
      <c r="T23" s="59">
        <v>2.806</v>
      </c>
      <c r="U23" s="52"/>
      <c r="V23" s="59">
        <v>0.315</v>
      </c>
      <c r="W23" s="52"/>
      <c r="X23" s="63">
        <v>24.917999999999999</v>
      </c>
    </row>
    <row r="24" spans="2:24" ht="14.1" customHeight="1">
      <c r="B24" s="8">
        <v>2016</v>
      </c>
      <c r="C24" s="58">
        <v>967.23699999999997</v>
      </c>
      <c r="D24" s="59">
        <v>80.831657597879314</v>
      </c>
      <c r="E24" s="59">
        <v>78.183369999999996</v>
      </c>
      <c r="F24" s="60">
        <v>0.56484191568353981</v>
      </c>
      <c r="G24" s="61">
        <v>40.323</v>
      </c>
      <c r="H24" s="60">
        <v>0.42380279245095853</v>
      </c>
      <c r="I24" s="61">
        <v>17.088999999999999</v>
      </c>
      <c r="J24" s="62"/>
      <c r="K24" s="59">
        <v>26.274937000000001</v>
      </c>
      <c r="L24" s="60">
        <v>0.64200000000000002</v>
      </c>
      <c r="M24" s="59">
        <v>31.619</v>
      </c>
      <c r="N24" s="60">
        <v>0.16654543154432461</v>
      </c>
      <c r="O24" s="59">
        <v>5.266</v>
      </c>
      <c r="P24" s="63"/>
      <c r="Q24" s="58">
        <v>499.11490000000003</v>
      </c>
      <c r="R24" s="58">
        <v>296.92149999999998</v>
      </c>
      <c r="S24" s="64">
        <v>0.594896085049755</v>
      </c>
      <c r="T24" s="59">
        <v>4.4580000000000002</v>
      </c>
      <c r="U24" s="52"/>
      <c r="V24" s="59">
        <v>0.32800000000000001</v>
      </c>
      <c r="W24" s="52"/>
      <c r="X24" s="63">
        <v>27.140999999999998</v>
      </c>
    </row>
    <row r="25" spans="2:24" ht="14.1" customHeight="1">
      <c r="B25" s="207">
        <v>2017</v>
      </c>
      <c r="C25" s="65">
        <v>964.64099999999996</v>
      </c>
      <c r="D25" s="66">
        <v>80.355950037371414</v>
      </c>
      <c r="E25" s="66">
        <v>77.514644000000004</v>
      </c>
      <c r="F25" s="67">
        <v>0.56535643830191751</v>
      </c>
      <c r="G25" s="68">
        <v>41.308999999999997</v>
      </c>
      <c r="H25" s="67">
        <v>0.43544990195841099</v>
      </c>
      <c r="I25" s="68">
        <v>17.988</v>
      </c>
      <c r="J25" s="62"/>
      <c r="K25" s="66">
        <v>26.511877999999999</v>
      </c>
      <c r="L25" s="67">
        <v>0.6409999999999999</v>
      </c>
      <c r="M25" s="66">
        <v>32.302</v>
      </c>
      <c r="N25" s="67">
        <v>0.16076403937836667</v>
      </c>
      <c r="O25" s="66">
        <v>5.1929999999999996</v>
      </c>
      <c r="P25" s="62"/>
      <c r="Q25" s="65">
        <v>491.84946199999996</v>
      </c>
      <c r="R25" s="65">
        <v>326.06086199999999</v>
      </c>
      <c r="S25" s="69">
        <v>0.66292816642340868</v>
      </c>
      <c r="T25" s="66">
        <v>6.0369999999999999</v>
      </c>
      <c r="U25" s="52"/>
      <c r="V25" s="66">
        <v>0.311</v>
      </c>
      <c r="W25" s="52"/>
      <c r="X25" s="70">
        <v>29.529</v>
      </c>
    </row>
    <row r="26" spans="2:24" ht="44.1" customHeight="1">
      <c r="B26" s="214" t="s">
        <v>132</v>
      </c>
      <c r="C26" s="214" t="s">
        <v>133</v>
      </c>
      <c r="D26" s="214" t="s">
        <v>134</v>
      </c>
      <c r="E26" s="214" t="s">
        <v>134</v>
      </c>
      <c r="F26" s="214" t="s">
        <v>134</v>
      </c>
      <c r="G26" s="214" t="s">
        <v>135</v>
      </c>
      <c r="H26" s="214" t="s">
        <v>134</v>
      </c>
      <c r="I26" s="214" t="s">
        <v>134</v>
      </c>
      <c r="J26" s="62"/>
      <c r="K26" s="214" t="s">
        <v>136</v>
      </c>
      <c r="L26" s="214" t="s">
        <v>134</v>
      </c>
      <c r="M26" s="214" t="s">
        <v>135</v>
      </c>
      <c r="N26" s="214" t="s">
        <v>134</v>
      </c>
      <c r="O26" s="214" t="s">
        <v>134</v>
      </c>
      <c r="P26" s="62"/>
      <c r="Q26" s="214" t="s">
        <v>137</v>
      </c>
      <c r="R26" s="214" t="s">
        <v>134</v>
      </c>
      <c r="S26" s="214" t="s">
        <v>138</v>
      </c>
      <c r="T26" s="214" t="s">
        <v>139</v>
      </c>
      <c r="U26" s="62"/>
      <c r="V26" s="214" t="s">
        <v>134</v>
      </c>
      <c r="W26" s="62"/>
      <c r="X26" s="214" t="s">
        <v>134</v>
      </c>
    </row>
    <row r="27" spans="2:24">
      <c r="B27" s="71"/>
      <c r="C27" s="212"/>
      <c r="D27" s="212"/>
      <c r="E27" s="71"/>
      <c r="F27" s="212"/>
      <c r="G27" s="212"/>
      <c r="H27" s="71"/>
      <c r="I27" s="71"/>
      <c r="J27" s="71"/>
      <c r="K27" s="72"/>
      <c r="L27" s="212"/>
      <c r="M27" s="212"/>
      <c r="N27" s="71"/>
      <c r="O27" s="71"/>
      <c r="P27" s="71"/>
      <c r="Q27" s="16"/>
      <c r="R27" s="16"/>
      <c r="S27" s="16"/>
      <c r="T27" s="16"/>
      <c r="U27" s="16"/>
      <c r="V27" s="16"/>
      <c r="W27" s="16"/>
      <c r="X27" s="16"/>
    </row>
    <row r="28" spans="2:24" ht="15.95" customHeight="1">
      <c r="B28" s="2" t="s">
        <v>140</v>
      </c>
      <c r="C28" s="2"/>
      <c r="D28" s="2"/>
      <c r="E28" s="2"/>
      <c r="F28" s="2"/>
      <c r="G28" s="2"/>
      <c r="H28" s="2"/>
      <c r="I28" s="2"/>
      <c r="J28" s="16"/>
      <c r="K28" s="2"/>
      <c r="L28" s="2"/>
      <c r="M28" s="50"/>
      <c r="N28" s="2"/>
      <c r="O28" s="2"/>
      <c r="P28" s="16"/>
      <c r="Q28" s="2"/>
      <c r="R28" s="2"/>
      <c r="S28" s="2"/>
      <c r="T28" s="2"/>
      <c r="U28" s="16"/>
      <c r="V28" s="2"/>
      <c r="W28" s="16"/>
      <c r="X28" s="2"/>
    </row>
    <row r="29" spans="2:24" ht="14.1" customHeight="1">
      <c r="B29" s="2"/>
      <c r="C29" s="207" t="s">
        <v>141</v>
      </c>
      <c r="D29" s="207" t="s">
        <v>142</v>
      </c>
      <c r="E29" s="207" t="s">
        <v>143</v>
      </c>
      <c r="F29" s="207" t="s">
        <v>144</v>
      </c>
      <c r="G29" s="207" t="s">
        <v>145</v>
      </c>
      <c r="H29" s="207" t="s">
        <v>146</v>
      </c>
      <c r="I29" s="207" t="s">
        <v>147</v>
      </c>
      <c r="J29" s="14"/>
      <c r="K29" s="207" t="s">
        <v>148</v>
      </c>
      <c r="L29" s="207" t="s">
        <v>149</v>
      </c>
      <c r="M29" s="207" t="s">
        <v>150</v>
      </c>
      <c r="N29" s="207" t="s">
        <v>151</v>
      </c>
      <c r="O29" s="207" t="s">
        <v>152</v>
      </c>
      <c r="P29" s="14"/>
      <c r="Q29" s="207" t="s">
        <v>153</v>
      </c>
      <c r="R29" s="207" t="s">
        <v>154</v>
      </c>
      <c r="S29" s="207" t="s">
        <v>155</v>
      </c>
      <c r="T29" s="207" t="s">
        <v>156</v>
      </c>
      <c r="U29" s="14"/>
      <c r="V29" s="207" t="s">
        <v>157</v>
      </c>
      <c r="W29" s="14"/>
      <c r="X29" s="214" t="s">
        <v>158</v>
      </c>
    </row>
    <row r="30" spans="2:24" ht="14.1" customHeight="1">
      <c r="B30" s="8">
        <v>2018</v>
      </c>
      <c r="C30" s="58">
        <v>944.28399999999988</v>
      </c>
      <c r="D30" s="59">
        <v>80.355950037371414</v>
      </c>
      <c r="E30" s="59">
        <f>C30*D30/1000</f>
        <v>75.878837925089215</v>
      </c>
      <c r="F30" s="60">
        <v>0.56535643830191751</v>
      </c>
      <c r="G30" s="61">
        <f>EXP(1.0181*LN(E30)+0.4564*LN(F30)-0.4676)+G$25-EXP(1.0181*LN(E$25)+0.4564*LN(F$25)-0.4676)</f>
        <v>40.438997727134343</v>
      </c>
      <c r="H30" s="60">
        <f>0.0135*($B30-1999)+0.1958+H$25-(0.0135*($B$25-1999)+0.1958)</f>
        <v>0.448949901958411</v>
      </c>
      <c r="I30" s="61">
        <f>G30*H30</f>
        <v>18.155084064893369</v>
      </c>
      <c r="J30" s="73"/>
      <c r="K30" s="59">
        <v>26.36</v>
      </c>
      <c r="L30" s="60">
        <v>0.64400000000000002</v>
      </c>
      <c r="M30" s="59">
        <f>EXP(0.9607*LN(K30)-0.7487*LN(L30)-0.0409)+M$25-EXP(0.9607*LN(K$25)-0.7487*LN(L$25)-0.0409)</f>
        <v>32.021867507010867</v>
      </c>
      <c r="N30" s="60">
        <v>0.16076403937836667</v>
      </c>
      <c r="O30" s="59">
        <f>M30*N30</f>
        <v>5.1479647688659353</v>
      </c>
      <c r="P30" s="73"/>
      <c r="Q30" s="58"/>
      <c r="R30" s="58">
        <f>Q$25*S30</f>
        <v>363.96860187999999</v>
      </c>
      <c r="S30" s="64">
        <v>0.74</v>
      </c>
      <c r="T30" s="59">
        <f>R30*21/1000</f>
        <v>7.6433406394799999</v>
      </c>
      <c r="U30" s="73"/>
      <c r="V30" s="59">
        <v>0.311</v>
      </c>
      <c r="W30" s="73"/>
      <c r="X30" s="63">
        <f>I30+O30+T30+V30</f>
        <v>31.257389473239307</v>
      </c>
    </row>
    <row r="31" spans="2:24" ht="14.1" customHeight="1">
      <c r="B31" s="8">
        <v>2019</v>
      </c>
      <c r="C31" s="58">
        <v>923.92699999999991</v>
      </c>
      <c r="D31" s="59">
        <v>80.355950037371414</v>
      </c>
      <c r="E31" s="59">
        <f t="shared" ref="E31:E42" si="0">C31*D31/1000</f>
        <v>74.243031850178454</v>
      </c>
      <c r="F31" s="60">
        <v>0.56535643830191751</v>
      </c>
      <c r="G31" s="61">
        <f t="shared" ref="G31:G42" si="1">EXP(1.0181*LN(E31)+0.4564*LN(F31)-0.4676)+G$25-EXP(1.0181*LN(E$25)+0.4564*LN(F$25)-0.4676)</f>
        <v>39.569334890903313</v>
      </c>
      <c r="H31" s="60">
        <f t="shared" ref="H31:H42" si="2">0.0135*($B31-1999)+0.1958+H$25-(0.0135*($B$25-1999)+0.1958)</f>
        <v>0.46244990195841107</v>
      </c>
      <c r="I31" s="61">
        <f t="shared" ref="I31:I42" si="3">G31*H31</f>
        <v>18.298835040857771</v>
      </c>
      <c r="J31" s="73"/>
      <c r="K31" s="59">
        <v>26.17</v>
      </c>
      <c r="L31" s="60">
        <v>0.64700000000000002</v>
      </c>
      <c r="M31" s="59">
        <f t="shared" ref="M31:M42" si="4">EXP(0.9607*LN(K31)-0.7487*LN(L31)-0.0409)+M$25-EXP(0.9607*LN(K$25)-0.7487*LN(L$25)-0.0409)</f>
        <v>31.70092997918934</v>
      </c>
      <c r="N31" s="60">
        <v>0.16076403937836667</v>
      </c>
      <c r="O31" s="59">
        <f t="shared" ref="O31:O42" si="5">M31*N31</f>
        <v>5.0963695555052393</v>
      </c>
      <c r="P31" s="73"/>
      <c r="Q31" s="58"/>
      <c r="R31" s="58">
        <f t="shared" ref="R31:R42" si="6">Q$25*S31</f>
        <v>408.23505345999996</v>
      </c>
      <c r="S31" s="64">
        <v>0.83</v>
      </c>
      <c r="T31" s="59">
        <f t="shared" ref="T31:T42" si="7">R31*21/1000</f>
        <v>8.5729361226599998</v>
      </c>
      <c r="U31" s="73"/>
      <c r="V31" s="59">
        <v>0.311</v>
      </c>
      <c r="W31" s="73"/>
      <c r="X31" s="63">
        <f t="shared" ref="X31:X41" si="8">I31+O31+T31+V31</f>
        <v>32.279140719023012</v>
      </c>
    </row>
    <row r="32" spans="2:24" ht="14.1" customHeight="1">
      <c r="B32" s="8">
        <v>2020</v>
      </c>
      <c r="C32" s="58">
        <v>903.56999999999994</v>
      </c>
      <c r="D32" s="59">
        <v>80.355950037371414</v>
      </c>
      <c r="E32" s="59">
        <f t="shared" si="0"/>
        <v>72.607225775267679</v>
      </c>
      <c r="F32" s="60">
        <v>0.56535643830191751</v>
      </c>
      <c r="G32" s="61">
        <f t="shared" si="1"/>
        <v>38.700018834501243</v>
      </c>
      <c r="H32" s="60">
        <f t="shared" si="2"/>
        <v>0.47594990195841091</v>
      </c>
      <c r="I32" s="61">
        <f t="shared" si="3"/>
        <v>18.419270170069524</v>
      </c>
      <c r="J32" s="73"/>
      <c r="K32" s="59">
        <v>25.892499999999998</v>
      </c>
      <c r="L32" s="60">
        <v>0.65</v>
      </c>
      <c r="M32" s="59">
        <f t="shared" si="4"/>
        <v>31.284250394193243</v>
      </c>
      <c r="N32" s="60">
        <v>0.16076403937836667</v>
      </c>
      <c r="O32" s="59">
        <f t="shared" si="5"/>
        <v>5.0293824622947652</v>
      </c>
      <c r="P32" s="73"/>
      <c r="Q32" s="58"/>
      <c r="R32" s="58">
        <f t="shared" si="6"/>
        <v>452.50150503999998</v>
      </c>
      <c r="S32" s="64">
        <v>0.92</v>
      </c>
      <c r="T32" s="59">
        <f t="shared" si="7"/>
        <v>9.5025316058399998</v>
      </c>
      <c r="U32" s="73"/>
      <c r="V32" s="59">
        <v>0.311</v>
      </c>
      <c r="W32" s="73"/>
      <c r="X32" s="63">
        <f t="shared" si="8"/>
        <v>33.262184238204291</v>
      </c>
    </row>
    <row r="33" spans="2:24" ht="14.1" customHeight="1">
      <c r="B33" s="8">
        <v>2021</v>
      </c>
      <c r="C33" s="58">
        <v>883.21299999999997</v>
      </c>
      <c r="D33" s="59">
        <v>80.355950037371414</v>
      </c>
      <c r="E33" s="59">
        <f t="shared" si="0"/>
        <v>70.971419700356918</v>
      </c>
      <c r="F33" s="60">
        <v>0.56535643830191751</v>
      </c>
      <c r="G33" s="61">
        <f t="shared" si="1"/>
        <v>37.831057229020011</v>
      </c>
      <c r="H33" s="60">
        <f t="shared" si="2"/>
        <v>0.48944990195841098</v>
      </c>
      <c r="I33" s="61">
        <f t="shared" si="3"/>
        <v>18.516407251726879</v>
      </c>
      <c r="J33" s="73"/>
      <c r="K33" s="59">
        <v>25.614999999999998</v>
      </c>
      <c r="L33" s="60">
        <v>0.65</v>
      </c>
      <c r="M33" s="59">
        <f t="shared" si="4"/>
        <v>30.97328364124489</v>
      </c>
      <c r="N33" s="60">
        <v>0.16076403937836667</v>
      </c>
      <c r="O33" s="59">
        <f t="shared" si="5"/>
        <v>4.979390190978414</v>
      </c>
      <c r="P33" s="73"/>
      <c r="Q33" s="58"/>
      <c r="R33" s="58">
        <f t="shared" si="6"/>
        <v>491.84946199999996</v>
      </c>
      <c r="S33" s="64">
        <v>1</v>
      </c>
      <c r="T33" s="59">
        <f t="shared" si="7"/>
        <v>10.328838701999999</v>
      </c>
      <c r="U33" s="73"/>
      <c r="V33" s="59">
        <v>0.311</v>
      </c>
      <c r="W33" s="73"/>
      <c r="X33" s="63">
        <f t="shared" si="8"/>
        <v>34.135636144705295</v>
      </c>
    </row>
    <row r="34" spans="2:24" ht="14.1" customHeight="1">
      <c r="B34" s="8">
        <v>2022</v>
      </c>
      <c r="C34" s="58">
        <v>862.85599999999999</v>
      </c>
      <c r="D34" s="59">
        <v>80.355950037371414</v>
      </c>
      <c r="E34" s="59">
        <f t="shared" si="0"/>
        <v>69.335613625446143</v>
      </c>
      <c r="F34" s="60">
        <v>0.56535643830191751</v>
      </c>
      <c r="G34" s="61">
        <f t="shared" si="1"/>
        <v>36.962458095988445</v>
      </c>
      <c r="H34" s="60">
        <f t="shared" si="2"/>
        <v>0.50294990195841105</v>
      </c>
      <c r="I34" s="61">
        <f t="shared" si="3"/>
        <v>18.590264675519265</v>
      </c>
      <c r="J34" s="73"/>
      <c r="K34" s="59">
        <v>25.337499999999999</v>
      </c>
      <c r="L34" s="60">
        <v>0.65</v>
      </c>
      <c r="M34" s="59">
        <f t="shared" si="4"/>
        <v>30.662184461383376</v>
      </c>
      <c r="N34" s="60">
        <v>0.16076403937836667</v>
      </c>
      <c r="O34" s="59">
        <f t="shared" si="5"/>
        <v>4.9293766301765798</v>
      </c>
      <c r="P34" s="73"/>
      <c r="Q34" s="58"/>
      <c r="R34" s="58">
        <f t="shared" si="6"/>
        <v>491.84946199999996</v>
      </c>
      <c r="S34" s="64">
        <v>1</v>
      </c>
      <c r="T34" s="59">
        <f t="shared" si="7"/>
        <v>10.328838701999999</v>
      </c>
      <c r="U34" s="73"/>
      <c r="V34" s="59">
        <v>0.311</v>
      </c>
      <c r="W34" s="73"/>
      <c r="X34" s="63">
        <f t="shared" si="8"/>
        <v>34.159480007695841</v>
      </c>
    </row>
    <row r="35" spans="2:24" ht="14.1" customHeight="1">
      <c r="B35" s="8">
        <v>2023</v>
      </c>
      <c r="C35" s="58">
        <v>842.49900000000002</v>
      </c>
      <c r="D35" s="59">
        <v>80.355950037371414</v>
      </c>
      <c r="E35" s="59">
        <f t="shared" si="0"/>
        <v>67.699807550535382</v>
      </c>
      <c r="F35" s="60">
        <v>0.56535643830191751</v>
      </c>
      <c r="G35" s="61">
        <f t="shared" si="1"/>
        <v>36.094229832029335</v>
      </c>
      <c r="H35" s="60">
        <f t="shared" si="2"/>
        <v>0.51644990195841112</v>
      </c>
      <c r="I35" s="61">
        <f t="shared" si="3"/>
        <v>18.640861458015909</v>
      </c>
      <c r="J35" s="73"/>
      <c r="K35" s="59">
        <v>25.06</v>
      </c>
      <c r="L35" s="60">
        <v>0.65</v>
      </c>
      <c r="M35" s="59">
        <f t="shared" si="4"/>
        <v>30.35095134686631</v>
      </c>
      <c r="N35" s="60">
        <v>0.16076403937836667</v>
      </c>
      <c r="O35" s="59">
        <f t="shared" si="5"/>
        <v>4.8793415374985063</v>
      </c>
      <c r="P35" s="73"/>
      <c r="Q35" s="58"/>
      <c r="R35" s="58">
        <f t="shared" si="6"/>
        <v>491.84946199999996</v>
      </c>
      <c r="S35" s="64">
        <v>1</v>
      </c>
      <c r="T35" s="59">
        <f t="shared" si="7"/>
        <v>10.328838701999999</v>
      </c>
      <c r="U35" s="73"/>
      <c r="V35" s="59">
        <v>0.311</v>
      </c>
      <c r="W35" s="73"/>
      <c r="X35" s="63">
        <f t="shared" si="8"/>
        <v>34.160041697514416</v>
      </c>
    </row>
    <row r="36" spans="2:24" ht="14.1" customHeight="1">
      <c r="B36" s="8">
        <v>2024</v>
      </c>
      <c r="C36" s="58">
        <v>822.14199999999994</v>
      </c>
      <c r="D36" s="59">
        <v>80.355950037371414</v>
      </c>
      <c r="E36" s="59">
        <f t="shared" si="0"/>
        <v>66.064001475624607</v>
      </c>
      <c r="F36" s="60">
        <v>0.56535643830191751</v>
      </c>
      <c r="G36" s="61">
        <f t="shared" si="1"/>
        <v>35.226381235889512</v>
      </c>
      <c r="H36" s="60">
        <f t="shared" si="2"/>
        <v>0.52994990195841096</v>
      </c>
      <c r="I36" s="61">
        <f t="shared" si="3"/>
        <v>18.668217282309254</v>
      </c>
      <c r="J36" s="73"/>
      <c r="K36" s="59">
        <v>24.827917257972274</v>
      </c>
      <c r="L36" s="60">
        <v>0.65</v>
      </c>
      <c r="M36" s="59">
        <f t="shared" si="4"/>
        <v>30.090552481305465</v>
      </c>
      <c r="N36" s="60">
        <v>0.16076403937836667</v>
      </c>
      <c r="O36" s="59">
        <f t="shared" si="5"/>
        <v>4.8374787640214008</v>
      </c>
      <c r="P36" s="73"/>
      <c r="Q36" s="58"/>
      <c r="R36" s="58">
        <f t="shared" si="6"/>
        <v>491.84946199999996</v>
      </c>
      <c r="S36" s="64">
        <v>1</v>
      </c>
      <c r="T36" s="59">
        <f t="shared" si="7"/>
        <v>10.328838701999999</v>
      </c>
      <c r="U36" s="73"/>
      <c r="V36" s="59">
        <v>0.311</v>
      </c>
      <c r="W36" s="73"/>
      <c r="X36" s="63">
        <f t="shared" si="8"/>
        <v>34.145534748330654</v>
      </c>
    </row>
    <row r="37" spans="2:24" ht="14.1" customHeight="1">
      <c r="B37" s="8">
        <v>2025</v>
      </c>
      <c r="C37" s="58">
        <v>801.78499999999997</v>
      </c>
      <c r="D37" s="59">
        <v>80.355950037371414</v>
      </c>
      <c r="E37" s="59">
        <f t="shared" si="0"/>
        <v>64.428195400713832</v>
      </c>
      <c r="F37" s="60">
        <v>0.56535643830191751</v>
      </c>
      <c r="G37" s="61">
        <f t="shared" si="1"/>
        <v>34.358921538135625</v>
      </c>
      <c r="H37" s="60">
        <f t="shared" si="2"/>
        <v>0.54344990195841103</v>
      </c>
      <c r="I37" s="61">
        <f t="shared" si="3"/>
        <v>18.672352541296544</v>
      </c>
      <c r="J37" s="73"/>
      <c r="K37" s="59">
        <v>24.604635067159158</v>
      </c>
      <c r="L37" s="60">
        <v>0.65</v>
      </c>
      <c r="M37" s="59">
        <f t="shared" si="4"/>
        <v>29.839937615915019</v>
      </c>
      <c r="N37" s="60">
        <v>0.16076403937836667</v>
      </c>
      <c r="O37" s="59">
        <f t="shared" si="5"/>
        <v>4.7971889059329671</v>
      </c>
      <c r="P37" s="73"/>
      <c r="Q37" s="58"/>
      <c r="R37" s="58">
        <f t="shared" si="6"/>
        <v>491.84946199999996</v>
      </c>
      <c r="S37" s="64">
        <v>1</v>
      </c>
      <c r="T37" s="59">
        <f t="shared" si="7"/>
        <v>10.328838701999999</v>
      </c>
      <c r="U37" s="73"/>
      <c r="V37" s="59">
        <v>0.311</v>
      </c>
      <c r="W37" s="73"/>
      <c r="X37" s="63">
        <f t="shared" si="8"/>
        <v>34.109380149229509</v>
      </c>
    </row>
    <row r="38" spans="2:24" ht="14.1" customHeight="1">
      <c r="B38" s="8">
        <v>2026</v>
      </c>
      <c r="C38" s="58">
        <v>781.428</v>
      </c>
      <c r="D38" s="59">
        <v>80.355950037371414</v>
      </c>
      <c r="E38" s="59">
        <f t="shared" si="0"/>
        <v>62.792389325803072</v>
      </c>
      <c r="F38" s="60">
        <v>0.56535643830191751</v>
      </c>
      <c r="G38" s="61">
        <f t="shared" si="1"/>
        <v>33.491860433852999</v>
      </c>
      <c r="H38" s="60">
        <f t="shared" si="2"/>
        <v>0.5569499019584111</v>
      </c>
      <c r="I38" s="61">
        <f t="shared" si="3"/>
        <v>18.653288385039215</v>
      </c>
      <c r="J38" s="73"/>
      <c r="K38" s="59">
        <v>24.389948211165713</v>
      </c>
      <c r="L38" s="60">
        <v>0.65</v>
      </c>
      <c r="M38" s="59">
        <f t="shared" si="4"/>
        <v>29.598885976915881</v>
      </c>
      <c r="N38" s="60">
        <v>0.16076403937836667</v>
      </c>
      <c r="O38" s="59">
        <f t="shared" si="5"/>
        <v>4.7584364707486895</v>
      </c>
      <c r="P38" s="73"/>
      <c r="Q38" s="58"/>
      <c r="R38" s="58">
        <f t="shared" si="6"/>
        <v>491.84946199999996</v>
      </c>
      <c r="S38" s="64">
        <v>1</v>
      </c>
      <c r="T38" s="59">
        <f t="shared" si="7"/>
        <v>10.328838701999999</v>
      </c>
      <c r="U38" s="73"/>
      <c r="V38" s="59">
        <v>0.311</v>
      </c>
      <c r="W38" s="73"/>
      <c r="X38" s="63">
        <f t="shared" si="8"/>
        <v>34.051563557787901</v>
      </c>
    </row>
    <row r="39" spans="2:24" ht="14.1" customHeight="1">
      <c r="B39" s="8">
        <v>2027</v>
      </c>
      <c r="C39" s="58">
        <v>761.07099999999991</v>
      </c>
      <c r="D39" s="59">
        <v>80.355950037371414</v>
      </c>
      <c r="E39" s="59">
        <f t="shared" si="0"/>
        <v>61.15658325089229</v>
      </c>
      <c r="F39" s="60">
        <v>0.56535643830191751</v>
      </c>
      <c r="G39" s="61">
        <f t="shared" si="1"/>
        <v>32.625208118737341</v>
      </c>
      <c r="H39" s="60">
        <f t="shared" si="2"/>
        <v>0.57044990195841094</v>
      </c>
      <c r="I39" s="61">
        <f t="shared" si="3"/>
        <v>18.611046772706469</v>
      </c>
      <c r="J39" s="73"/>
      <c r="K39" s="59">
        <v>24.183656865265657</v>
      </c>
      <c r="L39" s="60">
        <v>0.65</v>
      </c>
      <c r="M39" s="59">
        <f t="shared" si="4"/>
        <v>29.367182300635839</v>
      </c>
      <c r="N39" s="60">
        <v>0.16076403937836667</v>
      </c>
      <c r="O39" s="59">
        <f t="shared" si="5"/>
        <v>4.7211868518110931</v>
      </c>
      <c r="P39" s="73"/>
      <c r="Q39" s="58"/>
      <c r="R39" s="58">
        <f t="shared" si="6"/>
        <v>491.84946199999996</v>
      </c>
      <c r="S39" s="64">
        <v>1</v>
      </c>
      <c r="T39" s="59">
        <f t="shared" si="7"/>
        <v>10.328838701999999</v>
      </c>
      <c r="U39" s="73"/>
      <c r="V39" s="59">
        <v>0.311</v>
      </c>
      <c r="W39" s="73"/>
      <c r="X39" s="63">
        <f t="shared" si="8"/>
        <v>33.972072326517562</v>
      </c>
    </row>
    <row r="40" spans="2:24" ht="14.1" customHeight="1">
      <c r="B40" s="8">
        <v>2028</v>
      </c>
      <c r="C40" s="58">
        <v>740.71399999999994</v>
      </c>
      <c r="D40" s="59">
        <v>80.355950037371414</v>
      </c>
      <c r="E40" s="59">
        <f t="shared" si="0"/>
        <v>59.520777175981522</v>
      </c>
      <c r="F40" s="60">
        <v>0.56535643830191751</v>
      </c>
      <c r="G40" s="61">
        <f t="shared" si="1"/>
        <v>31.758975329032118</v>
      </c>
      <c r="H40" s="60">
        <f t="shared" si="2"/>
        <v>0.58394990195841101</v>
      </c>
      <c r="I40" s="61">
        <f t="shared" si="3"/>
        <v>18.545650529687901</v>
      </c>
      <c r="J40" s="73"/>
      <c r="K40" s="59">
        <v>23.985566459397759</v>
      </c>
      <c r="L40" s="60">
        <v>0.65</v>
      </c>
      <c r="M40" s="59">
        <f t="shared" si="4"/>
        <v>29.144616700739874</v>
      </c>
      <c r="N40" s="60">
        <v>0.16076403937836667</v>
      </c>
      <c r="O40" s="59">
        <f t="shared" si="5"/>
        <v>4.6854063069451479</v>
      </c>
      <c r="P40" s="73"/>
      <c r="Q40" s="58"/>
      <c r="R40" s="58">
        <f t="shared" si="6"/>
        <v>491.84946199999996</v>
      </c>
      <c r="S40" s="64">
        <v>1</v>
      </c>
      <c r="T40" s="59">
        <f t="shared" si="7"/>
        <v>10.328838701999999</v>
      </c>
      <c r="U40" s="73"/>
      <c r="V40" s="59">
        <v>0.311</v>
      </c>
      <c r="W40" s="73"/>
      <c r="X40" s="63">
        <f t="shared" si="8"/>
        <v>33.870895538633043</v>
      </c>
    </row>
    <row r="41" spans="2:24" ht="14.1" customHeight="1">
      <c r="B41" s="8">
        <v>2029</v>
      </c>
      <c r="C41" s="58">
        <v>720.35699999999997</v>
      </c>
      <c r="D41" s="59">
        <v>80.355950037371414</v>
      </c>
      <c r="E41" s="59">
        <f t="shared" si="0"/>
        <v>57.884971101070754</v>
      </c>
      <c r="F41" s="60">
        <v>0.56535643830191751</v>
      </c>
      <c r="G41" s="61">
        <f t="shared" si="1"/>
        <v>30.893173385837393</v>
      </c>
      <c r="H41" s="60">
        <f t="shared" si="2"/>
        <v>0.59744990195841108</v>
      </c>
      <c r="I41" s="61">
        <f t="shared" si="3"/>
        <v>18.457123410552747</v>
      </c>
      <c r="J41" s="73"/>
      <c r="K41" s="59">
        <v>23.795487544675197</v>
      </c>
      <c r="L41" s="60">
        <v>0.65</v>
      </c>
      <c r="M41" s="59">
        <f t="shared" si="4"/>
        <v>28.930984538804864</v>
      </c>
      <c r="N41" s="60">
        <v>0.16076403937836667</v>
      </c>
      <c r="O41" s="59">
        <f t="shared" si="5"/>
        <v>4.6510619376513427</v>
      </c>
      <c r="P41" s="73"/>
      <c r="Q41" s="58"/>
      <c r="R41" s="58">
        <f t="shared" si="6"/>
        <v>491.84946199999996</v>
      </c>
      <c r="S41" s="64">
        <v>1</v>
      </c>
      <c r="T41" s="59">
        <f t="shared" si="7"/>
        <v>10.328838701999999</v>
      </c>
      <c r="U41" s="73"/>
      <c r="V41" s="59">
        <v>0.311</v>
      </c>
      <c r="W41" s="73"/>
      <c r="X41" s="63">
        <f t="shared" si="8"/>
        <v>33.748024050204087</v>
      </c>
    </row>
    <row r="42" spans="2:24" ht="14.1" customHeight="1">
      <c r="B42" s="207">
        <v>2030</v>
      </c>
      <c r="C42" s="65">
        <v>700</v>
      </c>
      <c r="D42" s="66">
        <v>80.355950037371414</v>
      </c>
      <c r="E42" s="66">
        <f t="shared" si="0"/>
        <v>56.249165026159993</v>
      </c>
      <c r="F42" s="67">
        <v>0.56535643830191751</v>
      </c>
      <c r="G42" s="68">
        <f t="shared" si="1"/>
        <v>30.027814244407061</v>
      </c>
      <c r="H42" s="67">
        <f t="shared" si="2"/>
        <v>0.61094990195841092</v>
      </c>
      <c r="I42" s="68">
        <f t="shared" si="3"/>
        <v>18.34549016864587</v>
      </c>
      <c r="J42" s="73"/>
      <c r="K42" s="66">
        <v>23.613235663318068</v>
      </c>
      <c r="L42" s="67">
        <v>0.65</v>
      </c>
      <c r="M42" s="66">
        <f t="shared" si="4"/>
        <v>28.726086298152048</v>
      </c>
      <c r="N42" s="67">
        <v>0.16076403937836667</v>
      </c>
      <c r="O42" s="66">
        <f t="shared" si="5"/>
        <v>4.6181216688224751</v>
      </c>
      <c r="P42" s="73"/>
      <c r="Q42" s="65"/>
      <c r="R42" s="65">
        <f t="shared" si="6"/>
        <v>491.84946199999996</v>
      </c>
      <c r="S42" s="69">
        <v>1</v>
      </c>
      <c r="T42" s="66">
        <f t="shared" si="7"/>
        <v>10.328838701999999</v>
      </c>
      <c r="U42" s="73"/>
      <c r="V42" s="66">
        <v>0.311</v>
      </c>
      <c r="W42" s="73"/>
      <c r="X42" s="70">
        <f>I42+O42+T42+V42</f>
        <v>33.603450539468348</v>
      </c>
    </row>
    <row r="43" spans="2:24" ht="30" customHeight="1">
      <c r="B43" s="7" t="s">
        <v>159</v>
      </c>
      <c r="C43" s="214" t="s">
        <v>160</v>
      </c>
      <c r="D43" s="214" t="s">
        <v>161</v>
      </c>
      <c r="E43" s="214" t="s">
        <v>162</v>
      </c>
      <c r="F43" s="214" t="s">
        <v>161</v>
      </c>
      <c r="G43" s="214" t="s">
        <v>163</v>
      </c>
      <c r="H43" s="214" t="s">
        <v>164</v>
      </c>
      <c r="I43" s="214" t="s">
        <v>165</v>
      </c>
      <c r="J43" s="214"/>
      <c r="K43" s="214" t="s">
        <v>166</v>
      </c>
      <c r="L43" s="214" t="s">
        <v>167</v>
      </c>
      <c r="M43" s="214" t="s">
        <v>168</v>
      </c>
      <c r="N43" s="214" t="s">
        <v>161</v>
      </c>
      <c r="O43" s="214" t="s">
        <v>169</v>
      </c>
      <c r="P43" s="214"/>
      <c r="Q43" s="214"/>
      <c r="R43" s="214" t="s">
        <v>170</v>
      </c>
      <c r="S43" s="214" t="s">
        <v>171</v>
      </c>
      <c r="T43" s="214" t="s">
        <v>172</v>
      </c>
      <c r="U43" s="214"/>
      <c r="V43" s="214" t="s">
        <v>161</v>
      </c>
      <c r="W43" s="214"/>
      <c r="X43" s="214" t="s">
        <v>173</v>
      </c>
    </row>
    <row r="45" spans="2:24">
      <c r="B45" t="s">
        <v>174</v>
      </c>
    </row>
    <row r="46" spans="2:24">
      <c r="B46" t="s">
        <v>175</v>
      </c>
    </row>
    <row r="47" spans="2:24">
      <c r="B47" t="s">
        <v>650</v>
      </c>
    </row>
    <row r="48" spans="2:24">
      <c r="B48" t="s">
        <v>176</v>
      </c>
    </row>
    <row r="49" spans="2:2">
      <c r="B49" t="s">
        <v>177</v>
      </c>
    </row>
    <row r="50" spans="2:2">
      <c r="B50" t="s">
        <v>178</v>
      </c>
    </row>
    <row r="51" spans="2:2">
      <c r="B51" t="s">
        <v>651</v>
      </c>
    </row>
    <row r="52" spans="2:2">
      <c r="B52" t="s">
        <v>179</v>
      </c>
    </row>
    <row r="53" spans="2:2">
      <c r="B53" t="s">
        <v>180</v>
      </c>
    </row>
    <row r="54" spans="2:2" ht="15.75">
      <c r="B54" t="s">
        <v>680</v>
      </c>
    </row>
  </sheetData>
  <mergeCells count="11">
    <mergeCell ref="L4:L5"/>
    <mergeCell ref="M4:O4"/>
    <mergeCell ref="Q4:S4"/>
    <mergeCell ref="V4:V5"/>
    <mergeCell ref="X4:X5"/>
    <mergeCell ref="K4:K5"/>
    <mergeCell ref="C4:C5"/>
    <mergeCell ref="D4:D5"/>
    <mergeCell ref="E4:E5"/>
    <mergeCell ref="F4:F5"/>
    <mergeCell ref="G4:I4"/>
  </mergeCells>
  <phoneticPr fontId="4"/>
  <pageMargins left="0.70866141732283472" right="0.70866141732283472" top="0.74803149606299213" bottom="0.74803149606299213" header="0.31496062992125984" footer="0.31496062992125984"/>
  <pageSetup paperSize="9" scale="62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W36"/>
  <sheetViews>
    <sheetView showGridLines="0" workbookViewId="0">
      <selection activeCell="F41" sqref="F41"/>
    </sheetView>
  </sheetViews>
  <sheetFormatPr defaultRowHeight="13.5"/>
  <cols>
    <col min="1" max="1" width="2.625" customWidth="1"/>
    <col min="2" max="2" width="44.625" customWidth="1"/>
    <col min="3" max="22" width="6.625" customWidth="1"/>
    <col min="23" max="23" width="8.625" customWidth="1"/>
  </cols>
  <sheetData>
    <row r="1" spans="1:23">
      <c r="A1" s="54"/>
    </row>
    <row r="2" spans="1:23">
      <c r="B2" t="s">
        <v>208</v>
      </c>
    </row>
    <row r="3" spans="1:2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>
      <c r="B4" s="74" t="s">
        <v>182</v>
      </c>
      <c r="C4" s="12">
        <v>1</v>
      </c>
      <c r="D4" s="12">
        <v>2</v>
      </c>
      <c r="E4" s="12">
        <v>3</v>
      </c>
      <c r="F4" s="12">
        <v>4</v>
      </c>
      <c r="G4" s="12">
        <v>5</v>
      </c>
      <c r="H4" s="12">
        <v>6</v>
      </c>
      <c r="I4" s="12">
        <v>7</v>
      </c>
      <c r="J4" s="12">
        <v>8</v>
      </c>
      <c r="K4" s="12">
        <v>9</v>
      </c>
      <c r="L4" s="12">
        <v>10</v>
      </c>
      <c r="M4" s="12">
        <v>11</v>
      </c>
      <c r="N4" s="12">
        <v>12</v>
      </c>
      <c r="O4" s="12">
        <v>13</v>
      </c>
      <c r="P4" s="12">
        <v>14</v>
      </c>
      <c r="Q4" s="12">
        <v>15</v>
      </c>
      <c r="R4" s="12">
        <v>16</v>
      </c>
      <c r="S4" s="12">
        <v>17</v>
      </c>
      <c r="T4" s="12">
        <v>18</v>
      </c>
      <c r="U4" s="12" t="s">
        <v>183</v>
      </c>
      <c r="V4" s="12" t="s">
        <v>184</v>
      </c>
      <c r="W4" s="12" t="s">
        <v>1</v>
      </c>
    </row>
    <row r="5" spans="1:23">
      <c r="B5" s="75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>
      <c r="B6" s="2" t="s">
        <v>185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>
      <c r="B7" s="52" t="s">
        <v>186</v>
      </c>
      <c r="C7" s="9">
        <v>87.568600000000004</v>
      </c>
      <c r="D7" s="76">
        <v>168.48409000000001</v>
      </c>
      <c r="E7" s="76">
        <v>227.13887000000003</v>
      </c>
      <c r="F7" s="76">
        <v>352.48978999999986</v>
      </c>
      <c r="G7" s="76">
        <v>593.25355000000002</v>
      </c>
      <c r="H7" s="77">
        <v>873.32450000000028</v>
      </c>
      <c r="I7" s="77">
        <v>1142.6609099999996</v>
      </c>
      <c r="J7" s="77">
        <v>1581.7533300000002</v>
      </c>
      <c r="K7" s="77">
        <v>1649.1472700000002</v>
      </c>
      <c r="L7" s="77">
        <v>1499.9862099999998</v>
      </c>
      <c r="M7" s="77">
        <v>918.14549000000022</v>
      </c>
      <c r="N7" s="77">
        <v>344.69236999999987</v>
      </c>
      <c r="O7" s="77">
        <v>199.80068000000003</v>
      </c>
      <c r="P7" s="77">
        <v>167.5768599999999</v>
      </c>
      <c r="Q7" s="77">
        <v>140.79250999999999</v>
      </c>
      <c r="R7" s="77">
        <v>106.39677999999999</v>
      </c>
      <c r="S7" s="76">
        <v>89.955389999999994</v>
      </c>
      <c r="T7" s="77">
        <v>62.11936</v>
      </c>
      <c r="U7" s="77">
        <v>120.33949999999999</v>
      </c>
      <c r="V7" s="78" t="s">
        <v>187</v>
      </c>
      <c r="W7" s="9">
        <v>10325.626059999999</v>
      </c>
    </row>
    <row r="8" spans="1:23">
      <c r="B8" s="52" t="s">
        <v>188</v>
      </c>
      <c r="C8" s="9">
        <v>72.799480000000003</v>
      </c>
      <c r="D8" s="76">
        <v>114.26975999999999</v>
      </c>
      <c r="E8" s="77">
        <v>159.19226</v>
      </c>
      <c r="F8" s="76">
        <v>231.05516</v>
      </c>
      <c r="G8" s="77">
        <v>347.27533</v>
      </c>
      <c r="H8" s="77">
        <v>584.10430000000008</v>
      </c>
      <c r="I8" s="77">
        <v>851.58700999999996</v>
      </c>
      <c r="J8" s="77">
        <v>1111.37682</v>
      </c>
      <c r="K8" s="77">
        <v>1564.8235099999999</v>
      </c>
      <c r="L8" s="77">
        <v>1631.4506000000001</v>
      </c>
      <c r="M8" s="77">
        <v>1473.2065299999999</v>
      </c>
      <c r="N8" s="76">
        <v>920.61698999999999</v>
      </c>
      <c r="O8" s="76">
        <v>345.37821000000002</v>
      </c>
      <c r="P8" s="77">
        <v>193.90141</v>
      </c>
      <c r="Q8" s="77">
        <v>164.22705999999999</v>
      </c>
      <c r="R8" s="77">
        <v>137.93091000000001</v>
      </c>
      <c r="S8" s="77">
        <v>105.01325</v>
      </c>
      <c r="T8" s="77">
        <v>87.318439999999995</v>
      </c>
      <c r="U8" s="77">
        <v>174.20732000000001</v>
      </c>
      <c r="V8" s="78" t="s">
        <v>187</v>
      </c>
      <c r="W8" s="9">
        <v>10269.73414</v>
      </c>
    </row>
    <row r="9" spans="1:23">
      <c r="B9" s="29" t="s">
        <v>189</v>
      </c>
      <c r="C9" s="10">
        <v>67.872</v>
      </c>
      <c r="D9" s="79">
        <v>102.215</v>
      </c>
      <c r="E9" s="79">
        <v>113.93</v>
      </c>
      <c r="F9" s="79">
        <v>163.71799999999999</v>
      </c>
      <c r="G9" s="79">
        <v>224.005</v>
      </c>
      <c r="H9" s="79">
        <v>347.65100000000001</v>
      </c>
      <c r="I9" s="79">
        <v>581.846</v>
      </c>
      <c r="J9" s="79">
        <v>845.899</v>
      </c>
      <c r="K9" s="79">
        <v>1108.163</v>
      </c>
      <c r="L9" s="79">
        <v>1529.307</v>
      </c>
      <c r="M9" s="79">
        <v>1592.21</v>
      </c>
      <c r="N9" s="79">
        <v>1427.6690000000001</v>
      </c>
      <c r="O9" s="79">
        <v>893.06299999999999</v>
      </c>
      <c r="P9" s="79">
        <v>339.58100000000002</v>
      </c>
      <c r="Q9" s="79">
        <v>189.95099999999999</v>
      </c>
      <c r="R9" s="79">
        <v>161.72399999999999</v>
      </c>
      <c r="S9" s="79">
        <v>134.72900000000001</v>
      </c>
      <c r="T9" s="79">
        <v>103.63500000000001</v>
      </c>
      <c r="U9" s="79">
        <v>85.710999999999999</v>
      </c>
      <c r="V9" s="79">
        <v>171.56299999999999</v>
      </c>
      <c r="W9" s="10">
        <v>10184.442999999999</v>
      </c>
    </row>
    <row r="10" spans="1:23"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</row>
    <row r="11" spans="1:23">
      <c r="B11" s="2" t="s">
        <v>190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B12" t="s">
        <v>191</v>
      </c>
      <c r="C12" s="9">
        <f>C8</f>
        <v>72.799480000000003</v>
      </c>
      <c r="D12" s="9">
        <f>D8-C7</f>
        <v>26.701159999999987</v>
      </c>
      <c r="E12" s="9">
        <f t="shared" ref="E12:T12" si="0">E8-D7</f>
        <v>-9.2918300000000045</v>
      </c>
      <c r="F12" s="9">
        <f t="shared" si="0"/>
        <v>3.9162899999999752</v>
      </c>
      <c r="G12" s="9">
        <f t="shared" si="0"/>
        <v>-5.2144599999998604</v>
      </c>
      <c r="H12" s="9">
        <f t="shared" si="0"/>
        <v>-9.1492499999999382</v>
      </c>
      <c r="I12" s="9">
        <f t="shared" si="0"/>
        <v>-21.737490000000321</v>
      </c>
      <c r="J12" s="9">
        <f t="shared" si="0"/>
        <v>-31.284089999999651</v>
      </c>
      <c r="K12" s="9">
        <f t="shared" si="0"/>
        <v>-16.929820000000291</v>
      </c>
      <c r="L12" s="9">
        <f t="shared" si="0"/>
        <v>-17.69667000000004</v>
      </c>
      <c r="M12" s="9">
        <f t="shared" si="0"/>
        <v>-26.779679999999871</v>
      </c>
      <c r="N12" s="9">
        <f t="shared" si="0"/>
        <v>2.4714999999997644</v>
      </c>
      <c r="O12" s="9">
        <f t="shared" si="0"/>
        <v>0.68584000000015521</v>
      </c>
      <c r="P12" s="9">
        <f t="shared" si="0"/>
        <v>-5.8992700000000298</v>
      </c>
      <c r="Q12" s="9">
        <f t="shared" si="0"/>
        <v>-3.3497999999999024</v>
      </c>
      <c r="R12" s="9">
        <f t="shared" si="0"/>
        <v>-2.8615999999999815</v>
      </c>
      <c r="S12" s="9">
        <f t="shared" si="0"/>
        <v>-1.3835299999999933</v>
      </c>
      <c r="T12" s="9">
        <f t="shared" si="0"/>
        <v>-2.6369499999999988</v>
      </c>
      <c r="U12" s="9">
        <f>U8-T7-U7</f>
        <v>-8.2515399999999772</v>
      </c>
      <c r="V12" s="80" t="s">
        <v>192</v>
      </c>
      <c r="W12" s="9">
        <f>W8-W7</f>
        <v>-55.891919999998208</v>
      </c>
    </row>
    <row r="13" spans="1:23">
      <c r="B13" t="s">
        <v>193</v>
      </c>
      <c r="C13" s="9"/>
      <c r="D13" s="9">
        <v>42</v>
      </c>
      <c r="E13" s="9">
        <v>29</v>
      </c>
      <c r="F13" s="9">
        <v>25</v>
      </c>
      <c r="G13" s="9">
        <v>24</v>
      </c>
      <c r="H13" s="9">
        <v>26</v>
      </c>
      <c r="I13" s="9">
        <v>23</v>
      </c>
      <c r="J13" s="9">
        <v>17</v>
      </c>
      <c r="K13" s="9">
        <v>13</v>
      </c>
      <c r="L13" s="9">
        <v>12</v>
      </c>
      <c r="M13" s="9">
        <v>8</v>
      </c>
      <c r="N13" s="9">
        <v>7</v>
      </c>
      <c r="O13" s="9">
        <v>10</v>
      </c>
      <c r="P13" s="9">
        <v>12</v>
      </c>
      <c r="Q13" s="9">
        <v>6</v>
      </c>
      <c r="R13" s="9">
        <v>8</v>
      </c>
      <c r="S13" s="9">
        <v>7</v>
      </c>
      <c r="T13" s="9">
        <v>8</v>
      </c>
      <c r="U13" s="9">
        <v>7</v>
      </c>
      <c r="V13" s="80" t="s">
        <v>187</v>
      </c>
      <c r="W13" s="9">
        <v>12</v>
      </c>
    </row>
    <row r="14" spans="1:23">
      <c r="B14" s="2" t="s">
        <v>194</v>
      </c>
      <c r="C14" s="10"/>
      <c r="D14" s="10">
        <v>5</v>
      </c>
      <c r="E14" s="10">
        <v>18</v>
      </c>
      <c r="F14" s="10">
        <v>22</v>
      </c>
      <c r="G14" s="10">
        <v>23</v>
      </c>
      <c r="H14" s="10">
        <v>21</v>
      </c>
      <c r="I14" s="10">
        <v>24</v>
      </c>
      <c r="J14" s="10">
        <v>30</v>
      </c>
      <c r="K14" s="10">
        <v>34</v>
      </c>
      <c r="L14" s="10">
        <v>35</v>
      </c>
      <c r="M14" s="10">
        <v>39</v>
      </c>
      <c r="N14" s="10">
        <v>40</v>
      </c>
      <c r="O14" s="10">
        <v>37</v>
      </c>
      <c r="P14" s="10">
        <v>35</v>
      </c>
      <c r="Q14" s="10">
        <v>41</v>
      </c>
      <c r="R14" s="10">
        <v>39</v>
      </c>
      <c r="S14" s="10">
        <v>40</v>
      </c>
      <c r="T14" s="10">
        <v>39</v>
      </c>
      <c r="U14" s="10">
        <v>40</v>
      </c>
      <c r="V14" s="81" t="s">
        <v>187</v>
      </c>
      <c r="W14" s="10">
        <v>35</v>
      </c>
    </row>
    <row r="15" spans="1:23">
      <c r="B15" t="s">
        <v>195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80"/>
      <c r="W15" s="9"/>
    </row>
    <row r="16" spans="1:23">
      <c r="B16" t="s">
        <v>196</v>
      </c>
      <c r="C16" s="9"/>
      <c r="D16" s="9">
        <v>105.76900000000001</v>
      </c>
      <c r="E16" s="9">
        <v>141.06800000000001</v>
      </c>
      <c r="F16" s="9">
        <v>217.43799999999999</v>
      </c>
      <c r="G16" s="9">
        <v>365.57400000000001</v>
      </c>
      <c r="H16" s="9">
        <v>510.00900000000001</v>
      </c>
      <c r="I16" s="9">
        <v>855.45799999999997</v>
      </c>
      <c r="J16" s="9">
        <v>1313.6410000000001</v>
      </c>
      <c r="K16" s="9">
        <v>1374.6489999999999</v>
      </c>
      <c r="L16" s="9">
        <v>1226.29</v>
      </c>
      <c r="M16" s="9">
        <v>711.54899999999998</v>
      </c>
      <c r="N16" s="9">
        <v>270.56</v>
      </c>
      <c r="O16" s="9">
        <v>150.62899999999999</v>
      </c>
      <c r="P16" s="9">
        <v>151.11000000000001</v>
      </c>
      <c r="Q16" s="9">
        <v>122.681</v>
      </c>
      <c r="R16" s="9">
        <v>90.628</v>
      </c>
      <c r="S16" s="9">
        <v>76.033000000000001</v>
      </c>
      <c r="T16" s="9">
        <v>53.497999999999998</v>
      </c>
      <c r="U16" s="9">
        <v>105.788</v>
      </c>
      <c r="V16" s="80" t="s">
        <v>187</v>
      </c>
      <c r="W16" s="9"/>
    </row>
    <row r="17" spans="2:23">
      <c r="B17" t="s">
        <v>197</v>
      </c>
      <c r="C17" s="9"/>
      <c r="D17" s="9">
        <v>6.98787</v>
      </c>
      <c r="E17" s="9">
        <v>93.83044000000001</v>
      </c>
      <c r="F17" s="9">
        <v>136.01787000000002</v>
      </c>
      <c r="G17" s="9">
        <v>207.46131000000003</v>
      </c>
      <c r="H17" s="9">
        <v>346.09234570000007</v>
      </c>
      <c r="I17" s="9">
        <v>482.83962730000013</v>
      </c>
      <c r="J17" s="9">
        <v>810.33297819999996</v>
      </c>
      <c r="K17" s="9">
        <v>1277.0280299000001</v>
      </c>
      <c r="L17" s="9">
        <v>1346.4831992000002</v>
      </c>
      <c r="M17" s="9">
        <v>1181.8939641000006</v>
      </c>
      <c r="N17" s="9">
        <v>677.49177850000024</v>
      </c>
      <c r="O17" s="9">
        <v>252.17492039999985</v>
      </c>
      <c r="P17" s="9">
        <v>142.72028849999992</v>
      </c>
      <c r="Q17" s="9">
        <v>144.74658229999991</v>
      </c>
      <c r="R17" s="9">
        <v>117.43257480000001</v>
      </c>
      <c r="S17" s="9">
        <v>87.161069700000013</v>
      </c>
      <c r="T17" s="9">
        <v>72.072477599999957</v>
      </c>
      <c r="U17" s="9">
        <v>148.93337129999998</v>
      </c>
      <c r="V17" s="80" t="s">
        <v>187</v>
      </c>
      <c r="W17" s="9"/>
    </row>
    <row r="18" spans="2:23">
      <c r="B18" t="s">
        <v>198</v>
      </c>
      <c r="C18" s="9"/>
      <c r="D18" s="9"/>
      <c r="E18" s="9">
        <f>E17-D16</f>
        <v>-11.938559999999995</v>
      </c>
      <c r="F18" s="9">
        <f t="shared" ref="F18:T18" si="1">F17-E16</f>
        <v>-5.0501299999999958</v>
      </c>
      <c r="G18" s="9">
        <f t="shared" si="1"/>
        <v>-9.9766899999999623</v>
      </c>
      <c r="H18" s="9">
        <f t="shared" si="1"/>
        <v>-19.481654299999946</v>
      </c>
      <c r="I18" s="9">
        <f t="shared" si="1"/>
        <v>-27.169372699999883</v>
      </c>
      <c r="J18" s="9">
        <f t="shared" si="1"/>
        <v>-45.125021800000013</v>
      </c>
      <c r="K18" s="9">
        <f t="shared" si="1"/>
        <v>-36.612970099999984</v>
      </c>
      <c r="L18" s="9">
        <f t="shared" si="1"/>
        <v>-28.165800799999715</v>
      </c>
      <c r="M18" s="9">
        <f t="shared" si="1"/>
        <v>-44.396035899999333</v>
      </c>
      <c r="N18" s="9">
        <f t="shared" si="1"/>
        <v>-34.057221499999741</v>
      </c>
      <c r="O18" s="9">
        <f t="shared" si="1"/>
        <v>-18.385079600000154</v>
      </c>
      <c r="P18" s="9">
        <f t="shared" si="1"/>
        <v>-7.9087115000000665</v>
      </c>
      <c r="Q18" s="9">
        <f t="shared" si="1"/>
        <v>-6.3634177000000989</v>
      </c>
      <c r="R18" s="9">
        <f t="shared" si="1"/>
        <v>-5.2484251999999856</v>
      </c>
      <c r="S18" s="9">
        <f t="shared" si="1"/>
        <v>-3.4669302999999871</v>
      </c>
      <c r="T18" s="9">
        <f t="shared" si="1"/>
        <v>-3.9605224000000447</v>
      </c>
      <c r="U18" s="9">
        <f>U17-T16-U16</f>
        <v>-10.352628700000011</v>
      </c>
      <c r="V18" s="80" t="s">
        <v>187</v>
      </c>
      <c r="W18" s="9"/>
    </row>
    <row r="19" spans="2:23">
      <c r="B19" t="s">
        <v>199</v>
      </c>
      <c r="C19" s="9"/>
      <c r="D19" s="82"/>
      <c r="E19" s="82">
        <f>E18/D16</f>
        <v>-0.11287390445215512</v>
      </c>
      <c r="F19" s="82">
        <f t="shared" ref="F19:T19" si="2">F18/E16</f>
        <v>-3.5799259931380577E-2</v>
      </c>
      <c r="G19" s="82">
        <f t="shared" si="2"/>
        <v>-4.5882918349138435E-2</v>
      </c>
      <c r="H19" s="82">
        <f t="shared" si="2"/>
        <v>-5.3290590413978961E-2</v>
      </c>
      <c r="I19" s="82">
        <f t="shared" si="2"/>
        <v>-5.3272339703808916E-2</v>
      </c>
      <c r="J19" s="82">
        <f t="shared" si="2"/>
        <v>-5.2749546792478431E-2</v>
      </c>
      <c r="K19" s="82">
        <f t="shared" si="2"/>
        <v>-2.7871366758497933E-2</v>
      </c>
      <c r="L19" s="82">
        <f t="shared" si="2"/>
        <v>-2.0489449161203856E-2</v>
      </c>
      <c r="M19" s="82">
        <f t="shared" si="2"/>
        <v>-3.6203537417739143E-2</v>
      </c>
      <c r="N19" s="82">
        <f t="shared" si="2"/>
        <v>-4.7863494292030122E-2</v>
      </c>
      <c r="O19" s="82">
        <f t="shared" si="2"/>
        <v>-6.7951950029568872E-2</v>
      </c>
      <c r="P19" s="82">
        <f t="shared" si="2"/>
        <v>-5.25045741523881E-2</v>
      </c>
      <c r="Q19" s="82">
        <f t="shared" si="2"/>
        <v>-4.2111162067368792E-2</v>
      </c>
      <c r="R19" s="82">
        <f t="shared" si="2"/>
        <v>-4.2781076124257106E-2</v>
      </c>
      <c r="S19" s="82">
        <f t="shared" si="2"/>
        <v>-3.8254516264289037E-2</v>
      </c>
      <c r="T19" s="82">
        <f t="shared" si="2"/>
        <v>-5.2089519024634628E-2</v>
      </c>
      <c r="U19" s="82">
        <f>U18/(T16+U16)</f>
        <v>-6.4993964943560703E-2</v>
      </c>
      <c r="V19" s="80" t="s">
        <v>187</v>
      </c>
      <c r="W19" s="9"/>
    </row>
    <row r="20" spans="2:23">
      <c r="B20" s="2" t="s">
        <v>200</v>
      </c>
      <c r="C20" s="10"/>
      <c r="D20" s="83"/>
      <c r="E20" s="83"/>
      <c r="F20" s="83"/>
      <c r="G20" s="83"/>
      <c r="H20" s="83"/>
      <c r="I20" s="83"/>
      <c r="J20" s="83"/>
      <c r="K20" s="83"/>
      <c r="L20" s="84">
        <f>(L19+M19)/2</f>
        <v>-2.8346493289471499E-2</v>
      </c>
      <c r="M20" s="84">
        <f t="shared" ref="M20:T20" si="3">(L19+M19+N19)/3</f>
        <v>-3.4852160290324376E-2</v>
      </c>
      <c r="N20" s="84">
        <f t="shared" si="3"/>
        <v>-5.0672993913112717E-2</v>
      </c>
      <c r="O20" s="84">
        <f t="shared" si="3"/>
        <v>-5.6106672824662362E-2</v>
      </c>
      <c r="P20" s="84">
        <f t="shared" si="3"/>
        <v>-5.4189228749775255E-2</v>
      </c>
      <c r="Q20" s="84">
        <f t="shared" si="3"/>
        <v>-4.5798937448004666E-2</v>
      </c>
      <c r="R20" s="84">
        <f t="shared" si="3"/>
        <v>-4.104891815197164E-2</v>
      </c>
      <c r="S20" s="84">
        <f t="shared" si="3"/>
        <v>-4.4375037137726926E-2</v>
      </c>
      <c r="T20" s="84">
        <f t="shared" si="3"/>
        <v>-5.1779333410828125E-2</v>
      </c>
      <c r="U20" s="84">
        <f>(T19+U19)/2</f>
        <v>-5.8541741984097666E-2</v>
      </c>
      <c r="V20" s="81" t="s">
        <v>201</v>
      </c>
      <c r="W20" s="10"/>
    </row>
    <row r="21" spans="2:23">
      <c r="C21" s="9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9"/>
    </row>
    <row r="22" spans="2:23">
      <c r="B22" s="2" t="s">
        <v>202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81"/>
      <c r="W22" s="10"/>
    </row>
    <row r="23" spans="2:23">
      <c r="B23" t="s">
        <v>191</v>
      </c>
      <c r="C23" s="9">
        <f>C9</f>
        <v>67.872</v>
      </c>
      <c r="D23" s="9">
        <f>D9-C8</f>
        <v>29.415520000000001</v>
      </c>
      <c r="E23" s="9">
        <f t="shared" ref="E23:V23" si="4">E9-D8</f>
        <v>-0.33975999999998407</v>
      </c>
      <c r="F23" s="9">
        <f t="shared" si="4"/>
        <v>4.5257399999999848</v>
      </c>
      <c r="G23" s="9">
        <f t="shared" si="4"/>
        <v>-7.0501600000000053</v>
      </c>
      <c r="H23" s="9">
        <f t="shared" si="4"/>
        <v>0.37567000000001372</v>
      </c>
      <c r="I23" s="9">
        <f t="shared" si="4"/>
        <v>-2.2583000000000766</v>
      </c>
      <c r="J23" s="9">
        <f t="shared" si="4"/>
        <v>-5.6880099999999629</v>
      </c>
      <c r="K23" s="9">
        <f t="shared" si="4"/>
        <v>-3.2138199999999415</v>
      </c>
      <c r="L23" s="9">
        <f t="shared" si="4"/>
        <v>-35.516509999999926</v>
      </c>
      <c r="M23" s="9">
        <f t="shared" si="4"/>
        <v>-39.240600000000086</v>
      </c>
      <c r="N23" s="9">
        <f t="shared" si="4"/>
        <v>-45.537529999999833</v>
      </c>
      <c r="O23" s="9">
        <f t="shared" si="4"/>
        <v>-27.553989999999999</v>
      </c>
      <c r="P23" s="9">
        <f t="shared" si="4"/>
        <v>-5.7972100000000069</v>
      </c>
      <c r="Q23" s="9">
        <f t="shared" si="4"/>
        <v>-3.9504100000000051</v>
      </c>
      <c r="R23" s="9">
        <f t="shared" si="4"/>
        <v>-2.5030600000000049</v>
      </c>
      <c r="S23" s="9">
        <f t="shared" si="4"/>
        <v>-3.201909999999998</v>
      </c>
      <c r="T23" s="9">
        <f t="shared" si="4"/>
        <v>-1.3782499999999942</v>
      </c>
      <c r="U23" s="9">
        <f t="shared" si="4"/>
        <v>-1.6074399999999969</v>
      </c>
      <c r="V23" s="9">
        <f t="shared" si="4"/>
        <v>-2.6443200000000218</v>
      </c>
      <c r="W23" s="9">
        <f>W9-W8</f>
        <v>-85.291140000001178</v>
      </c>
    </row>
    <row r="24" spans="2:23">
      <c r="B24" t="s">
        <v>193</v>
      </c>
      <c r="C24" s="9"/>
      <c r="D24" s="9">
        <v>41</v>
      </c>
      <c r="E24" s="9">
        <v>25</v>
      </c>
      <c r="F24" s="9">
        <v>22</v>
      </c>
      <c r="G24" s="9">
        <v>19</v>
      </c>
      <c r="H24" s="9">
        <v>17</v>
      </c>
      <c r="I24" s="9">
        <v>16</v>
      </c>
      <c r="J24" s="9">
        <v>13</v>
      </c>
      <c r="K24" s="9">
        <v>15</v>
      </c>
      <c r="L24" s="9">
        <v>11</v>
      </c>
      <c r="M24" s="9">
        <v>8</v>
      </c>
      <c r="N24" s="9">
        <v>8</v>
      </c>
      <c r="O24" s="9">
        <v>10</v>
      </c>
      <c r="P24" s="9">
        <v>11</v>
      </c>
      <c r="Q24" s="9">
        <v>9</v>
      </c>
      <c r="R24" s="9">
        <v>11</v>
      </c>
      <c r="S24" s="9">
        <v>12</v>
      </c>
      <c r="T24" s="9">
        <v>12</v>
      </c>
      <c r="U24" s="9">
        <v>7</v>
      </c>
      <c r="V24" s="9">
        <v>12</v>
      </c>
      <c r="W24" s="9">
        <v>10</v>
      </c>
    </row>
    <row r="25" spans="2:23">
      <c r="B25" s="2" t="s">
        <v>194</v>
      </c>
      <c r="C25" s="10"/>
      <c r="D25" s="10">
        <v>6</v>
      </c>
      <c r="E25" s="10">
        <v>22</v>
      </c>
      <c r="F25" s="10">
        <v>25</v>
      </c>
      <c r="G25" s="10">
        <v>28</v>
      </c>
      <c r="H25" s="10">
        <v>30</v>
      </c>
      <c r="I25" s="10">
        <v>31</v>
      </c>
      <c r="J25" s="10">
        <v>34</v>
      </c>
      <c r="K25" s="10">
        <v>32</v>
      </c>
      <c r="L25" s="10">
        <v>36</v>
      </c>
      <c r="M25" s="10">
        <v>39</v>
      </c>
      <c r="N25" s="10">
        <v>39</v>
      </c>
      <c r="O25" s="10">
        <v>37</v>
      </c>
      <c r="P25" s="10">
        <v>36</v>
      </c>
      <c r="Q25" s="10">
        <v>38</v>
      </c>
      <c r="R25" s="10">
        <v>36</v>
      </c>
      <c r="S25" s="10">
        <v>35</v>
      </c>
      <c r="T25" s="10">
        <v>35</v>
      </c>
      <c r="U25" s="10">
        <v>39</v>
      </c>
      <c r="V25" s="10">
        <v>35</v>
      </c>
      <c r="W25" s="10">
        <v>37</v>
      </c>
    </row>
    <row r="26" spans="2:23">
      <c r="B26" t="s">
        <v>195</v>
      </c>
    </row>
    <row r="27" spans="2:23">
      <c r="B27" t="s">
        <v>203</v>
      </c>
      <c r="C27" s="9"/>
      <c r="D27" s="9">
        <v>72.123999999999995</v>
      </c>
      <c r="E27" s="9">
        <v>97.74</v>
      </c>
      <c r="F27" s="9">
        <v>163.33199999999999</v>
      </c>
      <c r="G27" s="9">
        <v>258.71300000000002</v>
      </c>
      <c r="H27" s="9">
        <v>446.18900000000002</v>
      </c>
      <c r="I27" s="9">
        <v>701.72799999999995</v>
      </c>
      <c r="J27" s="9">
        <v>851.20100000000002</v>
      </c>
      <c r="K27" s="9">
        <v>1343.9680000000001</v>
      </c>
      <c r="L27" s="9">
        <v>1429.711</v>
      </c>
      <c r="M27" s="9">
        <v>1280.441</v>
      </c>
      <c r="N27" s="9">
        <v>741.53599999999994</v>
      </c>
      <c r="O27" s="9">
        <v>275.76100000000002</v>
      </c>
      <c r="P27" s="9">
        <v>160.221</v>
      </c>
      <c r="Q27" s="9">
        <v>134.47399999999999</v>
      </c>
      <c r="R27" s="9">
        <v>110.977</v>
      </c>
      <c r="S27" s="9">
        <v>79.006</v>
      </c>
      <c r="T27" s="9">
        <v>72.108999999999995</v>
      </c>
      <c r="U27" s="9">
        <v>139.21600000000001</v>
      </c>
      <c r="V27" s="80" t="s">
        <v>187</v>
      </c>
      <c r="W27" s="9"/>
    </row>
    <row r="28" spans="2:23">
      <c r="B28" t="s">
        <v>204</v>
      </c>
      <c r="C28" s="9"/>
      <c r="D28" s="9">
        <v>2.6629999999999998</v>
      </c>
      <c r="E28" s="9">
        <v>68.606999999999999</v>
      </c>
      <c r="F28" s="9">
        <v>94.864999999999995</v>
      </c>
      <c r="G28" s="9">
        <v>154.136</v>
      </c>
      <c r="H28" s="9">
        <v>254.245</v>
      </c>
      <c r="I28" s="9">
        <v>435.75599999999997</v>
      </c>
      <c r="J28" s="9">
        <v>689.82500000000005</v>
      </c>
      <c r="K28" s="9">
        <v>833.20899999999995</v>
      </c>
      <c r="L28" s="9">
        <v>1300.171</v>
      </c>
      <c r="M28" s="9">
        <v>1386.0170000000001</v>
      </c>
      <c r="N28" s="9">
        <v>1228.0129999999999</v>
      </c>
      <c r="O28" s="9">
        <v>700.24699999999996</v>
      </c>
      <c r="P28" s="9">
        <v>258.25700000000001</v>
      </c>
      <c r="Q28" s="9">
        <v>154.524</v>
      </c>
      <c r="R28" s="9">
        <v>129.245</v>
      </c>
      <c r="S28" s="9">
        <v>106.678</v>
      </c>
      <c r="T28" s="9">
        <v>76.700999999999993</v>
      </c>
      <c r="U28" s="9">
        <v>69.855999999999995</v>
      </c>
      <c r="V28" s="9">
        <v>134.83699999999999</v>
      </c>
      <c r="W28" s="9"/>
    </row>
    <row r="29" spans="2:23">
      <c r="B29" t="s">
        <v>198</v>
      </c>
      <c r="D29" s="9"/>
      <c r="E29" s="9">
        <f>E28-D27</f>
        <v>-3.5169999999999959</v>
      </c>
      <c r="F29" s="9">
        <f t="shared" ref="F29:V29" si="5">F28-E27</f>
        <v>-2.875</v>
      </c>
      <c r="G29" s="9">
        <f t="shared" si="5"/>
        <v>-9.195999999999998</v>
      </c>
      <c r="H29" s="9">
        <f t="shared" si="5"/>
        <v>-4.4680000000000177</v>
      </c>
      <c r="I29" s="9">
        <f t="shared" si="5"/>
        <v>-10.43300000000005</v>
      </c>
      <c r="J29" s="9">
        <f t="shared" si="5"/>
        <v>-11.902999999999906</v>
      </c>
      <c r="K29" s="9">
        <f t="shared" si="5"/>
        <v>-17.992000000000075</v>
      </c>
      <c r="L29" s="9">
        <f t="shared" si="5"/>
        <v>-43.797000000000025</v>
      </c>
      <c r="M29" s="9">
        <f t="shared" si="5"/>
        <v>-43.69399999999996</v>
      </c>
      <c r="N29" s="9">
        <f t="shared" si="5"/>
        <v>-52.428000000000111</v>
      </c>
      <c r="O29" s="9">
        <f t="shared" si="5"/>
        <v>-41.288999999999987</v>
      </c>
      <c r="P29" s="9">
        <f t="shared" si="5"/>
        <v>-17.504000000000019</v>
      </c>
      <c r="Q29" s="9">
        <f t="shared" si="5"/>
        <v>-5.6970000000000027</v>
      </c>
      <c r="R29" s="9">
        <f t="shared" si="5"/>
        <v>-5.228999999999985</v>
      </c>
      <c r="S29" s="9">
        <f t="shared" si="5"/>
        <v>-4.2990000000000066</v>
      </c>
      <c r="T29" s="9">
        <f t="shared" si="5"/>
        <v>-2.3050000000000068</v>
      </c>
      <c r="U29" s="9">
        <f t="shared" si="5"/>
        <v>-2.2530000000000001</v>
      </c>
      <c r="V29" s="9">
        <f t="shared" si="5"/>
        <v>-4.3790000000000191</v>
      </c>
      <c r="W29" s="9"/>
    </row>
    <row r="30" spans="2:23">
      <c r="B30" t="s">
        <v>199</v>
      </c>
      <c r="D30" s="82"/>
      <c r="E30" s="82">
        <f>E29/D27</f>
        <v>-4.8763241084798348E-2</v>
      </c>
      <c r="F30" s="82">
        <f t="shared" ref="F30:V30" si="6">F29/E27</f>
        <v>-2.9414773889912014E-2</v>
      </c>
      <c r="G30" s="82">
        <f t="shared" si="6"/>
        <v>-5.6302500428574917E-2</v>
      </c>
      <c r="H30" s="82">
        <f t="shared" si="6"/>
        <v>-1.7270102391453143E-2</v>
      </c>
      <c r="I30" s="82">
        <f t="shared" si="6"/>
        <v>-2.3382467967610249E-2</v>
      </c>
      <c r="J30" s="82">
        <f t="shared" si="6"/>
        <v>-1.696241278672065E-2</v>
      </c>
      <c r="K30" s="82">
        <f t="shared" si="6"/>
        <v>-2.1137193212884001E-2</v>
      </c>
      <c r="L30" s="82">
        <f t="shared" si="6"/>
        <v>-3.2587829472130306E-2</v>
      </c>
      <c r="M30" s="82">
        <f t="shared" si="6"/>
        <v>-3.056142115434515E-2</v>
      </c>
      <c r="N30" s="82">
        <f t="shared" si="6"/>
        <v>-4.0945268075608408E-2</v>
      </c>
      <c r="O30" s="82">
        <f t="shared" si="6"/>
        <v>-5.5680371553100579E-2</v>
      </c>
      <c r="P30" s="82">
        <f t="shared" si="6"/>
        <v>-6.3475255746824305E-2</v>
      </c>
      <c r="Q30" s="82">
        <f t="shared" si="6"/>
        <v>-3.5557136704926336E-2</v>
      </c>
      <c r="R30" s="82">
        <f t="shared" si="6"/>
        <v>-3.8884840192155996E-2</v>
      </c>
      <c r="S30" s="82">
        <f t="shared" si="6"/>
        <v>-3.8737756472061839E-2</v>
      </c>
      <c r="T30" s="82">
        <f t="shared" si="6"/>
        <v>-2.9174999367136759E-2</v>
      </c>
      <c r="U30" s="82">
        <f t="shared" si="6"/>
        <v>-3.1244366167884733E-2</v>
      </c>
      <c r="V30" s="82">
        <f t="shared" si="6"/>
        <v>-3.1454717848523293E-2</v>
      </c>
      <c r="W30" s="82"/>
    </row>
    <row r="31" spans="2:23">
      <c r="B31" s="2" t="s">
        <v>200</v>
      </c>
      <c r="C31" s="2"/>
      <c r="D31" s="2"/>
      <c r="E31" s="83"/>
      <c r="F31" s="83"/>
      <c r="G31" s="83"/>
      <c r="H31" s="83"/>
      <c r="I31" s="83"/>
      <c r="J31" s="83"/>
      <c r="K31" s="83"/>
      <c r="L31" s="84">
        <f>(L30+M30)/2</f>
        <v>-3.1574625313237729E-2</v>
      </c>
      <c r="M31" s="84">
        <f t="shared" ref="M31:V31" si="7">(L30+M30+N30)/3</f>
        <v>-3.4698172900694622E-2</v>
      </c>
      <c r="N31" s="84">
        <f t="shared" si="7"/>
        <v>-4.2395686927684716E-2</v>
      </c>
      <c r="O31" s="84">
        <f t="shared" si="7"/>
        <v>-5.3366965125177766E-2</v>
      </c>
      <c r="P31" s="84">
        <f t="shared" si="7"/>
        <v>-5.1570921334950399E-2</v>
      </c>
      <c r="Q31" s="84">
        <f t="shared" si="7"/>
        <v>-4.597241088130221E-2</v>
      </c>
      <c r="R31" s="84">
        <f t="shared" si="7"/>
        <v>-3.7726577789714721E-2</v>
      </c>
      <c r="S31" s="84">
        <f t="shared" si="7"/>
        <v>-3.55991986771182E-2</v>
      </c>
      <c r="T31" s="84">
        <f t="shared" si="7"/>
        <v>-3.3052374002361107E-2</v>
      </c>
      <c r="U31" s="84">
        <f t="shared" si="7"/>
        <v>-3.062469446118159E-2</v>
      </c>
      <c r="V31" s="84">
        <f t="shared" si="7"/>
        <v>-2.089969467213601E-2</v>
      </c>
      <c r="W31" s="2"/>
    </row>
    <row r="32" spans="2:23"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</row>
    <row r="33" spans="2:23">
      <c r="B33" s="86" t="s">
        <v>205</v>
      </c>
      <c r="C33" s="86"/>
      <c r="D33" s="86"/>
      <c r="E33" s="86"/>
      <c r="F33" s="86"/>
      <c r="G33" s="86"/>
      <c r="H33" s="86"/>
      <c r="I33" s="86"/>
      <c r="J33" s="86"/>
      <c r="K33" s="86"/>
      <c r="L33" s="87">
        <v>-0.03</v>
      </c>
      <c r="M33" s="87">
        <v>-0.03</v>
      </c>
      <c r="N33" s="87">
        <v>-0.04</v>
      </c>
      <c r="O33" s="87">
        <v>-0.05</v>
      </c>
      <c r="P33" s="87">
        <v>-0.05</v>
      </c>
      <c r="Q33" s="87">
        <v>-0.05</v>
      </c>
      <c r="R33" s="87">
        <v>-0.05</v>
      </c>
      <c r="S33" s="87">
        <v>-0.05</v>
      </c>
      <c r="T33" s="87">
        <v>-0.05</v>
      </c>
      <c r="U33" s="87">
        <v>-0.05</v>
      </c>
      <c r="V33" s="87">
        <v>-0.05</v>
      </c>
      <c r="W33" s="86"/>
    </row>
    <row r="35" spans="2:23">
      <c r="B35" t="s">
        <v>206</v>
      </c>
    </row>
    <row r="36" spans="2:23">
      <c r="B36" t="s">
        <v>207</v>
      </c>
    </row>
  </sheetData>
  <phoneticPr fontId="4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T33"/>
  <sheetViews>
    <sheetView showGridLines="0" workbookViewId="0">
      <selection activeCell="AA29" sqref="AA29"/>
    </sheetView>
  </sheetViews>
  <sheetFormatPr defaultRowHeight="11.25"/>
  <cols>
    <col min="1" max="1" width="2.125" style="90" customWidth="1"/>
    <col min="2" max="2" width="5.125" style="90" customWidth="1"/>
    <col min="3" max="3" width="1.375" style="90" customWidth="1"/>
    <col min="4" max="4" width="6.625" style="90" customWidth="1"/>
    <col min="5" max="8" width="8.125" style="90" customWidth="1"/>
    <col min="9" max="9" width="6.625" style="90" customWidth="1"/>
    <col min="10" max="11" width="8.125" style="90" customWidth="1"/>
    <col min="12" max="12" width="1.375" style="90" customWidth="1"/>
    <col min="13" max="13" width="6.625" style="90" customWidth="1"/>
    <col min="14" max="17" width="8.125" style="90" customWidth="1"/>
    <col min="18" max="18" width="6.625" style="90" customWidth="1"/>
    <col min="19" max="20" width="8.125" style="90" customWidth="1"/>
    <col min="21" max="16384" width="9" style="90"/>
  </cols>
  <sheetData>
    <row r="1" spans="1:20" ht="13.5">
      <c r="A1" s="88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</row>
    <row r="2" spans="1:20" ht="13.5">
      <c r="A2" s="89"/>
      <c r="B2" s="89" t="s">
        <v>243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</row>
    <row r="3" spans="1:20" ht="13.5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</row>
    <row r="4" spans="1:20" ht="13.5">
      <c r="A4" s="89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</row>
    <row r="5" spans="1:20" ht="15.95" customHeight="1">
      <c r="A5" s="89"/>
      <c r="B5" s="89"/>
      <c r="C5" s="89"/>
      <c r="D5" s="283" t="s">
        <v>209</v>
      </c>
      <c r="E5" s="283"/>
      <c r="F5" s="283"/>
      <c r="G5" s="283"/>
      <c r="H5" s="283"/>
      <c r="I5" s="283"/>
      <c r="J5" s="283"/>
      <c r="K5" s="283"/>
      <c r="L5" s="89"/>
      <c r="M5" s="283" t="s">
        <v>210</v>
      </c>
      <c r="N5" s="283"/>
      <c r="O5" s="283"/>
      <c r="P5" s="283"/>
      <c r="Q5" s="283"/>
      <c r="R5" s="283"/>
      <c r="S5" s="283"/>
      <c r="T5" s="283"/>
    </row>
    <row r="6" spans="1:20" ht="30" customHeight="1">
      <c r="A6" s="89"/>
      <c r="B6" s="92"/>
      <c r="C6" s="92"/>
      <c r="D6" s="281" t="s">
        <v>681</v>
      </c>
      <c r="E6" s="282"/>
      <c r="F6" s="284" t="s">
        <v>682</v>
      </c>
      <c r="G6" s="284" t="s">
        <v>683</v>
      </c>
      <c r="H6" s="279" t="s">
        <v>211</v>
      </c>
      <c r="I6" s="281" t="s">
        <v>684</v>
      </c>
      <c r="J6" s="282"/>
      <c r="K6" s="282"/>
      <c r="L6" s="93"/>
      <c r="M6" s="281" t="s">
        <v>681</v>
      </c>
      <c r="N6" s="282"/>
      <c r="O6" s="284" t="s">
        <v>682</v>
      </c>
      <c r="P6" s="284" t="s">
        <v>683</v>
      </c>
      <c r="Q6" s="279" t="s">
        <v>211</v>
      </c>
      <c r="R6" s="281" t="s">
        <v>685</v>
      </c>
      <c r="S6" s="282"/>
      <c r="T6" s="282"/>
    </row>
    <row r="7" spans="1:20" ht="30" customHeight="1">
      <c r="A7" s="89"/>
      <c r="B7" s="92" t="s">
        <v>212</v>
      </c>
      <c r="C7" s="92"/>
      <c r="D7" s="93"/>
      <c r="E7" s="93" t="s">
        <v>213</v>
      </c>
      <c r="F7" s="285"/>
      <c r="G7" s="285"/>
      <c r="H7" s="280"/>
      <c r="I7" s="93"/>
      <c r="J7" s="93" t="s">
        <v>213</v>
      </c>
      <c r="K7" s="93" t="s">
        <v>214</v>
      </c>
      <c r="L7" s="93"/>
      <c r="M7" s="93"/>
      <c r="N7" s="93" t="s">
        <v>213</v>
      </c>
      <c r="O7" s="285"/>
      <c r="P7" s="285"/>
      <c r="Q7" s="280"/>
      <c r="R7" s="93"/>
      <c r="S7" s="93" t="s">
        <v>213</v>
      </c>
      <c r="T7" s="93" t="s">
        <v>214</v>
      </c>
    </row>
    <row r="8" spans="1:20" ht="13.5">
      <c r="A8" s="89"/>
      <c r="B8" s="91"/>
      <c r="C8" s="89"/>
      <c r="D8" s="94" t="s">
        <v>215</v>
      </c>
      <c r="E8" s="94" t="s">
        <v>216</v>
      </c>
      <c r="F8" s="94" t="s">
        <v>217</v>
      </c>
      <c r="G8" s="94" t="s">
        <v>218</v>
      </c>
      <c r="H8" s="95" t="s">
        <v>219</v>
      </c>
      <c r="I8" s="94" t="s">
        <v>220</v>
      </c>
      <c r="J8" s="94" t="s">
        <v>221</v>
      </c>
      <c r="K8" s="94" t="s">
        <v>222</v>
      </c>
      <c r="L8" s="92"/>
      <c r="M8" s="94" t="s">
        <v>223</v>
      </c>
      <c r="N8" s="94" t="s">
        <v>224</v>
      </c>
      <c r="O8" s="94" t="s">
        <v>217</v>
      </c>
      <c r="P8" s="94" t="s">
        <v>218</v>
      </c>
      <c r="Q8" s="95" t="s">
        <v>219</v>
      </c>
      <c r="R8" s="94" t="s">
        <v>225</v>
      </c>
      <c r="S8" s="94" t="s">
        <v>221</v>
      </c>
      <c r="T8" s="94" t="s">
        <v>226</v>
      </c>
    </row>
    <row r="9" spans="1:20" ht="14.1" customHeight="1">
      <c r="A9" s="89"/>
      <c r="B9" s="92">
        <v>2000</v>
      </c>
      <c r="C9" s="92"/>
      <c r="D9" s="96">
        <v>296.33016627078382</v>
      </c>
      <c r="E9" s="97">
        <f>5.5324*($B9-1999)+299.94</f>
        <v>305.47239999999999</v>
      </c>
      <c r="F9" s="89"/>
      <c r="G9" s="89"/>
      <c r="H9" s="98"/>
      <c r="I9" s="89"/>
      <c r="J9" s="89"/>
      <c r="K9" s="89"/>
      <c r="L9" s="89"/>
      <c r="M9" s="96">
        <v>85.612903225806448</v>
      </c>
      <c r="N9" s="97">
        <f>0.496*($B9-1999)+81.362</f>
        <v>81.85799999999999</v>
      </c>
      <c r="O9" s="96"/>
      <c r="P9" s="96"/>
      <c r="Q9" s="96"/>
      <c r="R9" s="96"/>
      <c r="S9" s="96"/>
      <c r="T9" s="96"/>
    </row>
    <row r="10" spans="1:20" ht="14.1" customHeight="1">
      <c r="A10" s="89"/>
      <c r="B10" s="92">
        <v>2001</v>
      </c>
      <c r="C10" s="92"/>
      <c r="D10" s="96">
        <v>297.23095238095237</v>
      </c>
      <c r="E10" s="97">
        <f t="shared" ref="E10:E25" si="0">5.5324*($B10-1999)+299.94</f>
        <v>311.00479999999999</v>
      </c>
      <c r="F10" s="89"/>
      <c r="G10" s="89"/>
      <c r="H10" s="98"/>
      <c r="I10" s="89"/>
      <c r="J10" s="89"/>
      <c r="K10" s="89"/>
      <c r="L10" s="89"/>
      <c r="M10" s="96">
        <v>80.595890410958901</v>
      </c>
      <c r="N10" s="97">
        <f t="shared" ref="N10:N25" si="1">0.496*($B10-1999)+81.362</f>
        <v>82.353999999999999</v>
      </c>
      <c r="O10" s="96"/>
      <c r="P10" s="96"/>
      <c r="Q10" s="96"/>
      <c r="R10" s="96"/>
      <c r="S10" s="96"/>
      <c r="T10" s="96"/>
    </row>
    <row r="11" spans="1:20" ht="14.1" customHeight="1">
      <c r="A11" s="89"/>
      <c r="B11" s="92">
        <v>2002</v>
      </c>
      <c r="C11" s="92"/>
      <c r="D11" s="96">
        <v>342.68079800498754</v>
      </c>
      <c r="E11" s="97">
        <f t="shared" si="0"/>
        <v>316.53719999999998</v>
      </c>
      <c r="F11" s="89"/>
      <c r="G11" s="89"/>
      <c r="H11" s="98"/>
      <c r="I11" s="89"/>
      <c r="J11" s="89"/>
      <c r="K11" s="89"/>
      <c r="L11" s="89"/>
      <c r="M11" s="96">
        <v>82.075000000000003</v>
      </c>
      <c r="N11" s="97">
        <f t="shared" si="1"/>
        <v>82.85</v>
      </c>
      <c r="O11" s="96"/>
      <c r="P11" s="96"/>
      <c r="Q11" s="96"/>
      <c r="R11" s="96"/>
      <c r="S11" s="96"/>
      <c r="T11" s="96"/>
    </row>
    <row r="12" spans="1:20" ht="14.1" customHeight="1">
      <c r="A12" s="89"/>
      <c r="B12" s="92">
        <v>2003</v>
      </c>
      <c r="C12" s="92"/>
      <c r="D12" s="96">
        <v>329.38536585365853</v>
      </c>
      <c r="E12" s="97">
        <f t="shared" si="0"/>
        <v>322.06959999999998</v>
      </c>
      <c r="F12" s="89"/>
      <c r="G12" s="89"/>
      <c r="H12" s="98"/>
      <c r="I12" s="89"/>
      <c r="J12" s="89"/>
      <c r="K12" s="89"/>
      <c r="L12" s="89"/>
      <c r="M12" s="96">
        <v>76.54651162790698</v>
      </c>
      <c r="N12" s="97">
        <f t="shared" si="1"/>
        <v>83.345999999999989</v>
      </c>
      <c r="O12" s="96"/>
      <c r="P12" s="96"/>
      <c r="Q12" s="96"/>
      <c r="R12" s="96"/>
      <c r="S12" s="96"/>
      <c r="T12" s="96"/>
    </row>
    <row r="13" spans="1:20" ht="14.1" customHeight="1">
      <c r="A13" s="89"/>
      <c r="B13" s="92">
        <v>2004</v>
      </c>
      <c r="C13" s="92"/>
      <c r="D13" s="96">
        <v>340.77892030848329</v>
      </c>
      <c r="E13" s="97">
        <f t="shared" si="0"/>
        <v>327.60199999999998</v>
      </c>
      <c r="F13" s="89"/>
      <c r="G13" s="89"/>
      <c r="H13" s="98"/>
      <c r="I13" s="89"/>
      <c r="J13" s="89"/>
      <c r="K13" s="89"/>
      <c r="L13" s="89"/>
      <c r="M13" s="96">
        <v>82.42926829268292</v>
      </c>
      <c r="N13" s="97">
        <f t="shared" si="1"/>
        <v>83.841999999999999</v>
      </c>
      <c r="O13" s="96"/>
      <c r="P13" s="96"/>
      <c r="Q13" s="96"/>
      <c r="R13" s="96"/>
      <c r="S13" s="96"/>
      <c r="T13" s="96"/>
    </row>
    <row r="14" spans="1:20" ht="14.1" customHeight="1">
      <c r="A14" s="89"/>
      <c r="B14" s="92">
        <v>2005</v>
      </c>
      <c r="C14" s="92"/>
      <c r="D14" s="96">
        <v>317.54143646408841</v>
      </c>
      <c r="E14" s="97">
        <f t="shared" si="0"/>
        <v>333.13440000000003</v>
      </c>
      <c r="F14" s="89"/>
      <c r="G14" s="89"/>
      <c r="H14" s="98"/>
      <c r="I14" s="89"/>
      <c r="J14" s="89"/>
      <c r="K14" s="89"/>
      <c r="L14" s="89"/>
      <c r="M14" s="96">
        <v>93</v>
      </c>
      <c r="N14" s="97">
        <f t="shared" si="1"/>
        <v>84.337999999999994</v>
      </c>
      <c r="O14" s="96"/>
      <c r="P14" s="96"/>
      <c r="Q14" s="96"/>
      <c r="R14" s="96"/>
      <c r="S14" s="96"/>
      <c r="T14" s="96"/>
    </row>
    <row r="15" spans="1:20" ht="14.1" customHeight="1">
      <c r="A15" s="89"/>
      <c r="B15" s="92">
        <v>2006</v>
      </c>
      <c r="C15" s="92"/>
      <c r="D15" s="96">
        <v>336.61976047904193</v>
      </c>
      <c r="E15" s="97">
        <f t="shared" si="0"/>
        <v>338.66679999999997</v>
      </c>
      <c r="F15" s="89"/>
      <c r="G15" s="89"/>
      <c r="H15" s="98"/>
      <c r="I15" s="89"/>
      <c r="J15" s="89"/>
      <c r="K15" s="89"/>
      <c r="L15" s="89"/>
      <c r="M15" s="96">
        <v>75</v>
      </c>
      <c r="N15" s="97">
        <f t="shared" si="1"/>
        <v>84.833999999999989</v>
      </c>
      <c r="O15" s="96"/>
      <c r="P15" s="96"/>
      <c r="Q15" s="96"/>
      <c r="R15" s="96"/>
      <c r="S15" s="96"/>
      <c r="T15" s="96"/>
    </row>
    <row r="16" spans="1:20" ht="14.1" customHeight="1">
      <c r="A16" s="89"/>
      <c r="B16" s="92">
        <v>2007</v>
      </c>
      <c r="C16" s="92"/>
      <c r="D16" s="96">
        <v>340.37696335078533</v>
      </c>
      <c r="E16" s="97">
        <f t="shared" si="0"/>
        <v>344.19920000000002</v>
      </c>
      <c r="F16" s="89"/>
      <c r="G16" s="89"/>
      <c r="H16" s="98"/>
      <c r="I16" s="89"/>
      <c r="J16" s="97">
        <f t="shared" ref="J16:J25" si="2">9.9084*($B16-1999)+355.9776</f>
        <v>435.2448</v>
      </c>
      <c r="K16" s="96">
        <f>J16/J$16*100</f>
        <v>100</v>
      </c>
      <c r="L16" s="89"/>
      <c r="M16" s="96">
        <v>86</v>
      </c>
      <c r="N16" s="97">
        <f t="shared" si="1"/>
        <v>85.33</v>
      </c>
      <c r="O16" s="96"/>
      <c r="P16" s="96"/>
      <c r="Q16" s="96"/>
      <c r="R16" s="96"/>
      <c r="S16" s="97">
        <f t="shared" ref="S16:S25" si="3">2.6171*($B16-1999)+90.4719</f>
        <v>111.40870000000001</v>
      </c>
      <c r="T16" s="96">
        <f>S16/S$16*100</f>
        <v>100</v>
      </c>
    </row>
    <row r="17" spans="1:20" ht="14.1" customHeight="1">
      <c r="A17" s="89"/>
      <c r="B17" s="92">
        <v>2008</v>
      </c>
      <c r="C17" s="92"/>
      <c r="D17" s="96">
        <v>348.75286041189929</v>
      </c>
      <c r="E17" s="97">
        <f t="shared" si="0"/>
        <v>349.73160000000001</v>
      </c>
      <c r="F17" s="89"/>
      <c r="G17" s="89"/>
      <c r="H17" s="98"/>
      <c r="I17" s="89"/>
      <c r="J17" s="97">
        <f t="shared" si="2"/>
        <v>445.15319999999997</v>
      </c>
      <c r="K17" s="96">
        <f t="shared" ref="K17:K25" si="4">J17/J$16*100</f>
        <v>102.27651197670828</v>
      </c>
      <c r="L17" s="89"/>
      <c r="M17" s="96">
        <v>94</v>
      </c>
      <c r="N17" s="97">
        <f t="shared" si="1"/>
        <v>85.825999999999993</v>
      </c>
      <c r="O17" s="96"/>
      <c r="P17" s="96"/>
      <c r="Q17" s="96"/>
      <c r="R17" s="96"/>
      <c r="S17" s="97">
        <f t="shared" si="3"/>
        <v>114.0258</v>
      </c>
      <c r="T17" s="96">
        <f t="shared" ref="T17:T25" si="5">S17/S$16*100</f>
        <v>102.34909840972921</v>
      </c>
    </row>
    <row r="18" spans="1:20" ht="14.1" customHeight="1">
      <c r="A18" s="89"/>
      <c r="B18" s="92">
        <v>2009</v>
      </c>
      <c r="C18" s="92"/>
      <c r="D18" s="96">
        <v>374.55773955773958</v>
      </c>
      <c r="E18" s="97">
        <f t="shared" si="0"/>
        <v>355.26400000000001</v>
      </c>
      <c r="F18" s="89"/>
      <c r="G18" s="89"/>
      <c r="H18" s="98"/>
      <c r="I18" s="89"/>
      <c r="J18" s="97">
        <f t="shared" si="2"/>
        <v>455.0616</v>
      </c>
      <c r="K18" s="96">
        <f t="shared" si="4"/>
        <v>104.55302395341657</v>
      </c>
      <c r="L18" s="89"/>
      <c r="M18" s="96">
        <v>88</v>
      </c>
      <c r="N18" s="97">
        <f t="shared" si="1"/>
        <v>86.321999999999989</v>
      </c>
      <c r="O18" s="96"/>
      <c r="P18" s="96"/>
      <c r="Q18" s="96"/>
      <c r="R18" s="96"/>
      <c r="S18" s="97">
        <f t="shared" si="3"/>
        <v>116.64290000000001</v>
      </c>
      <c r="T18" s="96">
        <f t="shared" si="5"/>
        <v>104.69819681945845</v>
      </c>
    </row>
    <row r="19" spans="1:20" ht="14.1" customHeight="1">
      <c r="A19" s="89"/>
      <c r="B19" s="92">
        <v>2010</v>
      </c>
      <c r="C19" s="92"/>
      <c r="D19" s="96">
        <v>337.19363395225463</v>
      </c>
      <c r="E19" s="97">
        <f t="shared" si="0"/>
        <v>360.79640000000001</v>
      </c>
      <c r="F19" s="89"/>
      <c r="G19" s="89"/>
      <c r="H19" s="98"/>
      <c r="I19" s="89"/>
      <c r="J19" s="97">
        <f t="shared" si="2"/>
        <v>464.97</v>
      </c>
      <c r="K19" s="96">
        <f t="shared" si="4"/>
        <v>106.82953593012485</v>
      </c>
      <c r="L19" s="89"/>
      <c r="M19" s="96">
        <v>87</v>
      </c>
      <c r="N19" s="97">
        <f t="shared" si="1"/>
        <v>86.817999999999998</v>
      </c>
      <c r="O19" s="96"/>
      <c r="P19" s="96"/>
      <c r="Q19" s="96"/>
      <c r="R19" s="96"/>
      <c r="S19" s="97">
        <f t="shared" si="3"/>
        <v>119.26</v>
      </c>
      <c r="T19" s="96">
        <f t="shared" si="5"/>
        <v>107.04729522918765</v>
      </c>
    </row>
    <row r="20" spans="1:20" ht="14.1" customHeight="1">
      <c r="A20" s="89"/>
      <c r="B20" s="92">
        <v>2011</v>
      </c>
      <c r="C20" s="92"/>
      <c r="D20" s="96">
        <v>359.99299065420558</v>
      </c>
      <c r="E20" s="97">
        <f t="shared" si="0"/>
        <v>366.3288</v>
      </c>
      <c r="F20" s="97">
        <v>3345</v>
      </c>
      <c r="G20" s="97">
        <v>4329</v>
      </c>
      <c r="H20" s="99">
        <f t="shared" ref="H20:H25" si="6">F20/G20</f>
        <v>0.77269577269577272</v>
      </c>
      <c r="I20" s="97">
        <f t="shared" ref="I20:I25" si="7">E20/H20</f>
        <v>474.09189094170404</v>
      </c>
      <c r="J20" s="97">
        <f t="shared" si="2"/>
        <v>474.8784</v>
      </c>
      <c r="K20" s="96">
        <f t="shared" si="4"/>
        <v>109.10604790683311</v>
      </c>
      <c r="L20" s="89"/>
      <c r="M20" s="96">
        <v>81</v>
      </c>
      <c r="N20" s="97">
        <f t="shared" si="1"/>
        <v>87.313999999999993</v>
      </c>
      <c r="O20" s="96">
        <v>3400.1118881118882</v>
      </c>
      <c r="P20" s="96">
        <v>4868</v>
      </c>
      <c r="Q20" s="99">
        <f t="shared" ref="Q20:Q25" si="8">O20/P20</f>
        <v>0.69846176830564677</v>
      </c>
      <c r="R20" s="97">
        <f t="shared" ref="R20:R25" si="9">N20/Q20</f>
        <v>125.00898970005099</v>
      </c>
      <c r="S20" s="97">
        <f t="shared" si="3"/>
        <v>121.87710000000001</v>
      </c>
      <c r="T20" s="96">
        <f t="shared" si="5"/>
        <v>109.39639363891689</v>
      </c>
    </row>
    <row r="21" spans="1:20" ht="14.1" customHeight="1">
      <c r="A21" s="89"/>
      <c r="B21" s="92">
        <v>2012</v>
      </c>
      <c r="C21" s="92"/>
      <c r="D21" s="96">
        <v>373</v>
      </c>
      <c r="E21" s="97">
        <f t="shared" si="0"/>
        <v>371.8612</v>
      </c>
      <c r="F21" s="97">
        <v>2978</v>
      </c>
      <c r="G21" s="97">
        <v>3937</v>
      </c>
      <c r="H21" s="99">
        <f t="shared" si="6"/>
        <v>0.75641351282702562</v>
      </c>
      <c r="I21" s="97">
        <f t="shared" si="7"/>
        <v>491.61099543317664</v>
      </c>
      <c r="J21" s="97">
        <f t="shared" si="2"/>
        <v>484.78679999999997</v>
      </c>
      <c r="K21" s="96">
        <f t="shared" si="4"/>
        <v>111.3825598835414</v>
      </c>
      <c r="L21" s="89"/>
      <c r="M21" s="96">
        <v>102</v>
      </c>
      <c r="N21" s="97">
        <f t="shared" si="1"/>
        <v>87.81</v>
      </c>
      <c r="O21" s="96">
        <v>3225</v>
      </c>
      <c r="P21" s="96">
        <v>4586</v>
      </c>
      <c r="Q21" s="99">
        <f t="shared" si="8"/>
        <v>0.70322721325774096</v>
      </c>
      <c r="R21" s="97">
        <f t="shared" si="9"/>
        <v>124.86718139534884</v>
      </c>
      <c r="S21" s="97">
        <f t="shared" si="3"/>
        <v>124.49420000000001</v>
      </c>
      <c r="T21" s="96">
        <f t="shared" si="5"/>
        <v>111.7454920486461</v>
      </c>
    </row>
    <row r="22" spans="1:20" ht="14.1" customHeight="1">
      <c r="A22" s="89"/>
      <c r="B22" s="92">
        <v>2013</v>
      </c>
      <c r="C22" s="92"/>
      <c r="D22" s="96">
        <v>369</v>
      </c>
      <c r="E22" s="97">
        <f t="shared" si="0"/>
        <v>377.39359999999999</v>
      </c>
      <c r="F22" s="97">
        <v>3352</v>
      </c>
      <c r="G22" s="97">
        <v>4393</v>
      </c>
      <c r="H22" s="99">
        <f t="shared" si="6"/>
        <v>0.7630320965171864</v>
      </c>
      <c r="I22" s="97">
        <f t="shared" si="7"/>
        <v>494.59728066825778</v>
      </c>
      <c r="J22" s="97">
        <f t="shared" si="2"/>
        <v>494.6952</v>
      </c>
      <c r="K22" s="96">
        <f t="shared" si="4"/>
        <v>113.65907186024968</v>
      </c>
      <c r="L22" s="89"/>
      <c r="M22" s="96">
        <v>81</v>
      </c>
      <c r="N22" s="97">
        <f t="shared" si="1"/>
        <v>88.305999999999997</v>
      </c>
      <c r="O22" s="96">
        <v>4146</v>
      </c>
      <c r="P22" s="96">
        <v>5817</v>
      </c>
      <c r="Q22" s="99">
        <f t="shared" si="8"/>
        <v>0.71273852501289325</v>
      </c>
      <c r="R22" s="97">
        <f t="shared" si="9"/>
        <v>123.89676845151953</v>
      </c>
      <c r="S22" s="97">
        <f t="shared" si="3"/>
        <v>127.1113</v>
      </c>
      <c r="T22" s="96">
        <f t="shared" si="5"/>
        <v>114.09459045837534</v>
      </c>
    </row>
    <row r="23" spans="1:20" ht="14.1" customHeight="1">
      <c r="A23" s="89"/>
      <c r="B23" s="92">
        <v>2014</v>
      </c>
      <c r="C23" s="92"/>
      <c r="D23" s="96">
        <v>393</v>
      </c>
      <c r="E23" s="97">
        <f t="shared" si="0"/>
        <v>382.92599999999999</v>
      </c>
      <c r="F23" s="97">
        <v>2852</v>
      </c>
      <c r="G23" s="97">
        <v>3665</v>
      </c>
      <c r="H23" s="99">
        <f t="shared" si="6"/>
        <v>0.77817189631650752</v>
      </c>
      <c r="I23" s="97">
        <f t="shared" si="7"/>
        <v>492.08407784011217</v>
      </c>
      <c r="J23" s="97">
        <f t="shared" si="2"/>
        <v>504.60360000000003</v>
      </c>
      <c r="K23" s="96">
        <f t="shared" si="4"/>
        <v>115.93558383695796</v>
      </c>
      <c r="L23" s="89"/>
      <c r="M23" s="96">
        <v>90</v>
      </c>
      <c r="N23" s="97">
        <f t="shared" si="1"/>
        <v>88.801999999999992</v>
      </c>
      <c r="O23" s="96">
        <v>3295</v>
      </c>
      <c r="P23" s="96">
        <v>4694</v>
      </c>
      <c r="Q23" s="99">
        <f t="shared" si="8"/>
        <v>0.70195994887089908</v>
      </c>
      <c r="R23" s="97">
        <f t="shared" si="9"/>
        <v>126.50579301972684</v>
      </c>
      <c r="S23" s="97">
        <f t="shared" si="3"/>
        <v>129.72840000000002</v>
      </c>
      <c r="T23" s="96">
        <f t="shared" si="5"/>
        <v>116.44368886810457</v>
      </c>
    </row>
    <row r="24" spans="1:20" ht="14.1" customHeight="1">
      <c r="A24" s="89"/>
      <c r="B24" s="92">
        <v>2015</v>
      </c>
      <c r="C24" s="92"/>
      <c r="D24" s="96">
        <v>395</v>
      </c>
      <c r="E24" s="97">
        <f t="shared" si="0"/>
        <v>388.45839999999998</v>
      </c>
      <c r="F24" s="97">
        <v>2714</v>
      </c>
      <c r="G24" s="97">
        <v>3608</v>
      </c>
      <c r="H24" s="99">
        <f t="shared" si="6"/>
        <v>0.75221729490022171</v>
      </c>
      <c r="I24" s="97">
        <f t="shared" si="7"/>
        <v>516.41779926308027</v>
      </c>
      <c r="J24" s="97">
        <f t="shared" si="2"/>
        <v>514.51199999999994</v>
      </c>
      <c r="K24" s="96">
        <f t="shared" si="4"/>
        <v>118.21209581366622</v>
      </c>
      <c r="L24" s="89"/>
      <c r="M24" s="96">
        <v>85</v>
      </c>
      <c r="N24" s="97">
        <f t="shared" si="1"/>
        <v>89.298000000000002</v>
      </c>
      <c r="O24" s="96">
        <v>2446</v>
      </c>
      <c r="P24" s="96">
        <v>3594</v>
      </c>
      <c r="Q24" s="99">
        <f t="shared" si="8"/>
        <v>0.68057874234835836</v>
      </c>
      <c r="R24" s="97">
        <f t="shared" si="9"/>
        <v>131.20891741618971</v>
      </c>
      <c r="S24" s="97">
        <f t="shared" si="3"/>
        <v>132.34550000000002</v>
      </c>
      <c r="T24" s="96">
        <f t="shared" si="5"/>
        <v>118.79278727783378</v>
      </c>
    </row>
    <row r="25" spans="1:20" ht="14.1" customHeight="1">
      <c r="A25" s="89"/>
      <c r="B25" s="94">
        <v>2016</v>
      </c>
      <c r="C25" s="92"/>
      <c r="D25" s="100"/>
      <c r="E25" s="101">
        <f t="shared" si="0"/>
        <v>393.99079999999998</v>
      </c>
      <c r="F25" s="101">
        <v>2663</v>
      </c>
      <c r="G25" s="101">
        <v>3576</v>
      </c>
      <c r="H25" s="102">
        <f t="shared" si="6"/>
        <v>0.74468680089485462</v>
      </c>
      <c r="I25" s="101">
        <f t="shared" si="7"/>
        <v>529.06913285767928</v>
      </c>
      <c r="J25" s="101">
        <f t="shared" si="2"/>
        <v>524.42039999999997</v>
      </c>
      <c r="K25" s="100">
        <f t="shared" si="4"/>
        <v>120.48860779037452</v>
      </c>
      <c r="L25" s="89"/>
      <c r="M25" s="100"/>
      <c r="N25" s="101">
        <f t="shared" si="1"/>
        <v>89.793999999999997</v>
      </c>
      <c r="O25" s="100">
        <v>1958</v>
      </c>
      <c r="P25" s="100">
        <v>3031</v>
      </c>
      <c r="Q25" s="102">
        <f t="shared" si="8"/>
        <v>0.64599142197294623</v>
      </c>
      <c r="R25" s="101">
        <f t="shared" si="9"/>
        <v>139.00184576098059</v>
      </c>
      <c r="S25" s="101">
        <f t="shared" si="3"/>
        <v>134.96260000000001</v>
      </c>
      <c r="T25" s="100">
        <f t="shared" si="5"/>
        <v>121.14188568756299</v>
      </c>
    </row>
    <row r="26" spans="1:20" ht="30" customHeight="1">
      <c r="A26" s="89"/>
      <c r="B26" s="103" t="s">
        <v>227</v>
      </c>
      <c r="C26" s="91"/>
      <c r="D26" s="103" t="s">
        <v>228</v>
      </c>
      <c r="E26" s="103" t="s">
        <v>229</v>
      </c>
      <c r="F26" s="103"/>
      <c r="G26" s="103"/>
      <c r="H26" s="103" t="s">
        <v>230</v>
      </c>
      <c r="I26" s="103" t="s">
        <v>231</v>
      </c>
      <c r="J26" s="103" t="s">
        <v>232</v>
      </c>
      <c r="K26" s="103" t="s">
        <v>233</v>
      </c>
      <c r="L26" s="103"/>
      <c r="M26" s="103" t="s">
        <v>228</v>
      </c>
      <c r="N26" s="103" t="s">
        <v>234</v>
      </c>
      <c r="O26" s="103" t="s">
        <v>235</v>
      </c>
      <c r="P26" s="103"/>
      <c r="Q26" s="103" t="s">
        <v>230</v>
      </c>
      <c r="R26" s="103" t="s">
        <v>231</v>
      </c>
      <c r="S26" s="103" t="s">
        <v>236</v>
      </c>
      <c r="T26" s="103" t="s">
        <v>233</v>
      </c>
    </row>
    <row r="27" spans="1:20" ht="13.5">
      <c r="A27" s="89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</row>
    <row r="28" spans="1:20" ht="15.95" customHeight="1">
      <c r="A28" s="89"/>
      <c r="B28" s="89" t="s">
        <v>237</v>
      </c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</row>
    <row r="29" spans="1:20" ht="15.95" customHeight="1">
      <c r="A29" s="89"/>
      <c r="B29" s="89" t="s">
        <v>238</v>
      </c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</row>
    <row r="30" spans="1:20" ht="15.95" customHeight="1">
      <c r="A30" s="89"/>
      <c r="B30" s="89" t="s">
        <v>239</v>
      </c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</row>
    <row r="31" spans="1:20" ht="15.95" customHeight="1">
      <c r="A31" s="89"/>
      <c r="B31" s="89" t="s">
        <v>240</v>
      </c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</row>
    <row r="32" spans="1:20" ht="13.5">
      <c r="B32" s="89" t="s">
        <v>241</v>
      </c>
    </row>
    <row r="33" spans="2:2" ht="13.5">
      <c r="B33" s="89" t="s">
        <v>242</v>
      </c>
    </row>
  </sheetData>
  <mergeCells count="12">
    <mergeCell ref="Q6:Q7"/>
    <mergeCell ref="R6:T6"/>
    <mergeCell ref="D5:K5"/>
    <mergeCell ref="M5:T5"/>
    <mergeCell ref="D6:E6"/>
    <mergeCell ref="F6:F7"/>
    <mergeCell ref="G6:G7"/>
    <mergeCell ref="H6:H7"/>
    <mergeCell ref="I6:K6"/>
    <mergeCell ref="M6:N6"/>
    <mergeCell ref="O6:O7"/>
    <mergeCell ref="P6:P7"/>
  </mergeCells>
  <phoneticPr fontId="4"/>
  <pageMargins left="0.70866141732283472" right="0.70866141732283472" top="0.74803149606299213" bottom="0.74803149606299213" header="0.31496062992125984" footer="0.31496062992125984"/>
  <pageSetup paperSize="9" scale="90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L42"/>
  <sheetViews>
    <sheetView showGridLines="0" workbookViewId="0">
      <selection activeCell="AM17" sqref="AM17"/>
    </sheetView>
  </sheetViews>
  <sheetFormatPr defaultRowHeight="13.5"/>
  <cols>
    <col min="1" max="1" width="2.625" customWidth="1"/>
    <col min="2" max="2" width="6.625" customWidth="1"/>
    <col min="3" max="3" width="1.625" customWidth="1"/>
    <col min="4" max="8" width="6.625" customWidth="1"/>
    <col min="9" max="9" width="1.625" customWidth="1"/>
    <col min="10" max="12" width="6.625" customWidth="1"/>
    <col min="13" max="13" width="1.625" customWidth="1"/>
    <col min="14" max="16" width="6.625" customWidth="1"/>
    <col min="17" max="17" width="1.625" customWidth="1"/>
    <col min="18" max="21" width="6.625" customWidth="1"/>
    <col min="22" max="22" width="1.625" customWidth="1"/>
    <col min="23" max="24" width="6.625" customWidth="1"/>
    <col min="25" max="25" width="1.625" customWidth="1"/>
    <col min="26" max="27" width="6.625" customWidth="1"/>
    <col min="28" max="28" width="1.625" customWidth="1"/>
    <col min="29" max="29" width="6.625" customWidth="1"/>
    <col min="30" max="30" width="2.625" customWidth="1"/>
    <col min="31" max="33" width="7.625" customWidth="1"/>
    <col min="34" max="34" width="1.625" customWidth="1"/>
    <col min="35" max="35" width="7.625" customWidth="1"/>
    <col min="36" max="36" width="1.625" customWidth="1"/>
    <col min="37" max="38" width="6.625" customWidth="1"/>
  </cols>
  <sheetData>
    <row r="1" spans="1:38">
      <c r="A1" s="54"/>
    </row>
    <row r="2" spans="1:38">
      <c r="B2" t="s">
        <v>312</v>
      </c>
    </row>
    <row r="4" spans="1:38" ht="15.7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3"/>
      <c r="AC4" s="3" t="s">
        <v>686</v>
      </c>
      <c r="AE4" s="2"/>
      <c r="AF4" s="2"/>
      <c r="AG4" s="2"/>
      <c r="AH4" s="2"/>
      <c r="AI4" s="2"/>
      <c r="AJ4" s="2"/>
      <c r="AK4" s="2"/>
      <c r="AL4" s="3" t="s">
        <v>686</v>
      </c>
    </row>
    <row r="5" spans="1:38" ht="44.1" customHeight="1">
      <c r="B5" s="235" t="s">
        <v>2</v>
      </c>
      <c r="C5" s="235"/>
      <c r="D5" s="286" t="s">
        <v>244</v>
      </c>
      <c r="E5" s="286"/>
      <c r="F5" s="286"/>
      <c r="G5" s="286"/>
      <c r="H5" s="286"/>
      <c r="I5" s="235"/>
      <c r="J5" s="286" t="s">
        <v>245</v>
      </c>
      <c r="K5" s="286"/>
      <c r="L5" s="286"/>
      <c r="M5" s="235"/>
      <c r="N5" s="286" t="s">
        <v>246</v>
      </c>
      <c r="O5" s="286"/>
      <c r="P5" s="286"/>
      <c r="Q5" s="235"/>
      <c r="R5" s="286" t="s">
        <v>247</v>
      </c>
      <c r="S5" s="286"/>
      <c r="T5" s="286"/>
      <c r="U5" s="286"/>
      <c r="V5" s="235"/>
      <c r="W5" s="286" t="s">
        <v>248</v>
      </c>
      <c r="X5" s="286"/>
      <c r="Y5" s="235"/>
      <c r="Z5" s="287" t="s">
        <v>249</v>
      </c>
      <c r="AA5" s="287"/>
      <c r="AB5" s="234"/>
      <c r="AC5" s="239" t="s">
        <v>250</v>
      </c>
      <c r="AE5" s="286" t="s">
        <v>251</v>
      </c>
      <c r="AF5" s="286"/>
      <c r="AG5" s="286"/>
      <c r="AH5" s="234"/>
      <c r="AI5" s="288" t="s">
        <v>252</v>
      </c>
      <c r="AJ5" s="238"/>
      <c r="AK5" s="286" t="s">
        <v>253</v>
      </c>
      <c r="AL5" s="286"/>
    </row>
    <row r="6" spans="1:38" ht="40.5" customHeight="1">
      <c r="B6" s="57"/>
      <c r="C6" s="57"/>
      <c r="D6" s="235" t="s">
        <v>254</v>
      </c>
      <c r="E6" s="235" t="s">
        <v>255</v>
      </c>
      <c r="F6" s="235" t="s">
        <v>256</v>
      </c>
      <c r="G6" s="235" t="s">
        <v>257</v>
      </c>
      <c r="H6" s="235" t="s">
        <v>258</v>
      </c>
      <c r="I6" s="235"/>
      <c r="J6" s="235" t="s">
        <v>1</v>
      </c>
      <c r="K6" s="235" t="s">
        <v>259</v>
      </c>
      <c r="L6" s="235" t="s">
        <v>260</v>
      </c>
      <c r="M6" s="235"/>
      <c r="N6" s="235"/>
      <c r="O6" s="235" t="s">
        <v>261</v>
      </c>
      <c r="P6" s="235" t="s">
        <v>262</v>
      </c>
      <c r="Q6" s="235"/>
      <c r="R6" s="235" t="s">
        <v>1</v>
      </c>
      <c r="S6" s="235" t="s">
        <v>259</v>
      </c>
      <c r="T6" s="235" t="s">
        <v>260</v>
      </c>
      <c r="U6" s="235" t="s">
        <v>263</v>
      </c>
      <c r="V6" s="235"/>
      <c r="W6" s="235" t="s">
        <v>259</v>
      </c>
      <c r="X6" s="235" t="s">
        <v>260</v>
      </c>
      <c r="Y6" s="235"/>
      <c r="Z6" s="235" t="s">
        <v>264</v>
      </c>
      <c r="AA6" s="235" t="s">
        <v>265</v>
      </c>
      <c r="AB6" s="235"/>
      <c r="AE6" s="57" t="s">
        <v>266</v>
      </c>
      <c r="AF6" s="57" t="s">
        <v>267</v>
      </c>
      <c r="AG6" s="57" t="s">
        <v>268</v>
      </c>
      <c r="AH6" s="57"/>
      <c r="AI6" s="288"/>
      <c r="AJ6" s="238"/>
      <c r="AK6" s="8" t="s">
        <v>259</v>
      </c>
      <c r="AL6" s="8" t="s">
        <v>260</v>
      </c>
    </row>
    <row r="7" spans="1:38" ht="15.95" customHeight="1">
      <c r="B7" s="2"/>
      <c r="C7" s="16"/>
      <c r="D7" s="105" t="s">
        <v>269</v>
      </c>
      <c r="E7" s="105" t="s">
        <v>270</v>
      </c>
      <c r="F7" s="105" t="s">
        <v>271</v>
      </c>
      <c r="G7" s="105" t="s">
        <v>272</v>
      </c>
      <c r="H7" s="105" t="s">
        <v>273</v>
      </c>
      <c r="J7" s="105" t="s">
        <v>274</v>
      </c>
      <c r="K7" s="105" t="s">
        <v>275</v>
      </c>
      <c r="L7" s="105" t="s">
        <v>276</v>
      </c>
      <c r="N7" s="105" t="s">
        <v>277</v>
      </c>
      <c r="O7" s="105" t="s">
        <v>278</v>
      </c>
      <c r="P7" s="105" t="s">
        <v>279</v>
      </c>
      <c r="R7" s="105" t="s">
        <v>280</v>
      </c>
      <c r="S7" s="105" t="s">
        <v>281</v>
      </c>
      <c r="T7" s="105" t="s">
        <v>282</v>
      </c>
      <c r="U7" s="105" t="s">
        <v>283</v>
      </c>
      <c r="W7" s="105" t="s">
        <v>284</v>
      </c>
      <c r="X7" s="105" t="s">
        <v>285</v>
      </c>
      <c r="Y7" s="106"/>
      <c r="Z7" s="105" t="s">
        <v>286</v>
      </c>
      <c r="AA7" s="105" t="s">
        <v>287</v>
      </c>
      <c r="AB7" s="107"/>
      <c r="AC7" s="105" t="s">
        <v>288</v>
      </c>
      <c r="AE7" s="233" t="s">
        <v>289</v>
      </c>
      <c r="AF7" s="233" t="s">
        <v>290</v>
      </c>
      <c r="AG7" s="233" t="s">
        <v>291</v>
      </c>
      <c r="AH7" s="106"/>
      <c r="AI7" s="233" t="s">
        <v>292</v>
      </c>
      <c r="AJ7" s="106"/>
      <c r="AK7" s="233" t="s">
        <v>293</v>
      </c>
      <c r="AL7" s="233" t="s">
        <v>640</v>
      </c>
    </row>
    <row r="8" spans="1:38">
      <c r="B8" s="8">
        <v>2000</v>
      </c>
      <c r="C8" s="8"/>
      <c r="D8" s="49">
        <v>19.058</v>
      </c>
      <c r="E8" s="49">
        <v>17.989999999999998</v>
      </c>
      <c r="F8" s="49">
        <v>3.2000000000000001E-2</v>
      </c>
      <c r="G8" s="49">
        <v>0.80300000000000005</v>
      </c>
      <c r="H8" s="49">
        <v>0.23300000000000001</v>
      </c>
      <c r="I8" s="49"/>
      <c r="J8" s="49">
        <v>17.986999999999998</v>
      </c>
      <c r="K8" s="49">
        <v>14.52</v>
      </c>
      <c r="L8" s="49">
        <v>3.4670000000000001</v>
      </c>
      <c r="M8" s="49"/>
      <c r="N8" s="49">
        <f>E8-J8</f>
        <v>3.0000000000001137E-3</v>
      </c>
      <c r="O8" s="49">
        <f>N8*0.9</f>
        <v>2.7000000000001025E-3</v>
      </c>
      <c r="P8" s="49">
        <f>N8*0.1</f>
        <v>3.0000000000001141E-4</v>
      </c>
      <c r="Q8" s="49"/>
      <c r="R8" s="49">
        <f>S8+T8</f>
        <v>17.990000000000002</v>
      </c>
      <c r="S8" s="49">
        <f>K8+O8</f>
        <v>14.5227</v>
      </c>
      <c r="T8" s="49">
        <f>L8+P8</f>
        <v>3.4673000000000003</v>
      </c>
      <c r="U8" s="108">
        <f>T8/R8</f>
        <v>0.19273485269594218</v>
      </c>
      <c r="V8" s="49"/>
      <c r="W8" s="49">
        <f>D8-X8</f>
        <v>14.548532484713729</v>
      </c>
      <c r="X8" s="49">
        <f>T8+F8*U8+G8+AL8</f>
        <v>4.5094675152862704</v>
      </c>
      <c r="Y8" s="49"/>
      <c r="AE8" s="49"/>
      <c r="AF8" s="49"/>
      <c r="AG8" s="49">
        <f>H8-AE8-AF8</f>
        <v>0.23300000000000001</v>
      </c>
      <c r="AH8" s="49"/>
      <c r="AJ8" s="49"/>
      <c r="AK8" s="49"/>
      <c r="AL8" s="49">
        <f>AE8*U8+AF8*AI8+AG8</f>
        <v>0.23300000000000001</v>
      </c>
    </row>
    <row r="9" spans="1:38">
      <c r="B9" s="8">
        <v>2001</v>
      </c>
      <c r="C9" s="8"/>
      <c r="D9" s="49">
        <v>17.690000000000001</v>
      </c>
      <c r="E9" s="49">
        <v>16.724</v>
      </c>
      <c r="F9" s="49">
        <v>3.5000000000000003E-2</v>
      </c>
      <c r="G9" s="49">
        <v>0.71799999999999997</v>
      </c>
      <c r="H9" s="49">
        <v>0.21299999999999999</v>
      </c>
      <c r="I9" s="49"/>
      <c r="J9" s="49">
        <v>15.773999999999999</v>
      </c>
      <c r="K9" s="49">
        <v>12.846</v>
      </c>
      <c r="L9" s="49">
        <v>2.9279999999999999</v>
      </c>
      <c r="M9" s="49"/>
      <c r="N9" s="49">
        <f t="shared" ref="N9:N24" si="0">E9-J9</f>
        <v>0.95000000000000107</v>
      </c>
      <c r="O9" s="49">
        <f t="shared" ref="O9:O24" si="1">N9*0.9</f>
        <v>0.85500000000000098</v>
      </c>
      <c r="P9" s="49">
        <f t="shared" ref="P9:P24" si="2">N9*0.1</f>
        <v>9.5000000000000112E-2</v>
      </c>
      <c r="Q9" s="49"/>
      <c r="R9" s="49">
        <f t="shared" ref="R9:R24" si="3">S9+T9</f>
        <v>16.724</v>
      </c>
      <c r="S9" s="49">
        <f t="shared" ref="S9:T24" si="4">K9+O9</f>
        <v>13.701000000000001</v>
      </c>
      <c r="T9" s="49">
        <f t="shared" si="4"/>
        <v>3.0230000000000001</v>
      </c>
      <c r="U9" s="108">
        <f t="shared" ref="U9:U24" si="5">T9/R9</f>
        <v>0.18075819182013872</v>
      </c>
      <c r="V9" s="49"/>
      <c r="W9" s="49">
        <f t="shared" ref="W9:W24" si="6">D9-X9</f>
        <v>13.729673463286296</v>
      </c>
      <c r="X9" s="49">
        <f t="shared" ref="X9:X24" si="7">T9+F9*U9+G9+AL9</f>
        <v>3.9603265367137048</v>
      </c>
      <c r="Y9" s="49"/>
      <c r="AE9" s="49"/>
      <c r="AF9" s="49"/>
      <c r="AG9" s="49">
        <f t="shared" ref="AG9:AG24" si="8">H9-AE9-AF9</f>
        <v>0.21299999999999999</v>
      </c>
      <c r="AH9" s="49"/>
      <c r="AJ9" s="49"/>
      <c r="AK9" s="49"/>
      <c r="AL9" s="49">
        <f t="shared" ref="AL9:AL24" si="9">AE9*U9+AF9*AI9+AG9</f>
        <v>0.21299999999999999</v>
      </c>
    </row>
    <row r="10" spans="1:38">
      <c r="B10" s="8">
        <v>2002</v>
      </c>
      <c r="C10" s="8"/>
      <c r="D10" s="49">
        <v>16.920000000000002</v>
      </c>
      <c r="E10" s="49">
        <v>15.981999999999999</v>
      </c>
      <c r="F10" s="49">
        <v>9.5000000000000001E-2</v>
      </c>
      <c r="G10" s="49">
        <v>0.65300000000000002</v>
      </c>
      <c r="H10" s="49">
        <v>0.19</v>
      </c>
      <c r="I10" s="49"/>
      <c r="J10" s="49">
        <v>15.092000000000001</v>
      </c>
      <c r="K10" s="49">
        <v>12.42</v>
      </c>
      <c r="L10" s="49">
        <v>2.6720000000000002</v>
      </c>
      <c r="M10" s="49"/>
      <c r="N10" s="49">
        <f t="shared" si="0"/>
        <v>0.88999999999999879</v>
      </c>
      <c r="O10" s="49">
        <f t="shared" si="1"/>
        <v>0.80099999999999894</v>
      </c>
      <c r="P10" s="49">
        <f t="shared" si="2"/>
        <v>8.8999999999999885E-2</v>
      </c>
      <c r="Q10" s="49"/>
      <c r="R10" s="49">
        <f t="shared" si="3"/>
        <v>15.981999999999999</v>
      </c>
      <c r="S10" s="49">
        <f t="shared" si="4"/>
        <v>13.220999999999998</v>
      </c>
      <c r="T10" s="49">
        <f t="shared" si="4"/>
        <v>2.7610000000000001</v>
      </c>
      <c r="U10" s="108">
        <f t="shared" si="5"/>
        <v>0.17275685145789013</v>
      </c>
      <c r="V10" s="49"/>
      <c r="W10" s="49">
        <f t="shared" si="6"/>
        <v>13.299588099111503</v>
      </c>
      <c r="X10" s="49">
        <f t="shared" si="7"/>
        <v>3.6204119008884996</v>
      </c>
      <c r="Y10" s="49"/>
      <c r="AE10" s="49"/>
      <c r="AF10" s="49"/>
      <c r="AG10" s="49">
        <f t="shared" si="8"/>
        <v>0.19</v>
      </c>
      <c r="AH10" s="49"/>
      <c r="AJ10" s="49"/>
      <c r="AK10" s="49"/>
      <c r="AL10" s="49">
        <f t="shared" si="9"/>
        <v>0.19</v>
      </c>
    </row>
    <row r="11" spans="1:38">
      <c r="B11" s="8">
        <v>2003</v>
      </c>
      <c r="C11" s="8"/>
      <c r="D11" s="49">
        <v>16.97</v>
      </c>
      <c r="E11" s="49">
        <v>16.012</v>
      </c>
      <c r="F11" s="49">
        <v>0.14299999999999999</v>
      </c>
      <c r="G11" s="49">
        <v>0.63400000000000001</v>
      </c>
      <c r="H11" s="49">
        <v>0.18099999999999999</v>
      </c>
      <c r="I11" s="49"/>
      <c r="J11" s="49">
        <v>15.170999999999999</v>
      </c>
      <c r="K11" s="49">
        <v>12.605</v>
      </c>
      <c r="L11" s="49">
        <v>2.5659999999999998</v>
      </c>
      <c r="M11" s="49"/>
      <c r="N11" s="49">
        <f t="shared" si="0"/>
        <v>0.84100000000000108</v>
      </c>
      <c r="O11" s="49">
        <f t="shared" si="1"/>
        <v>0.75690000000000102</v>
      </c>
      <c r="P11" s="49">
        <f t="shared" si="2"/>
        <v>8.4100000000000119E-2</v>
      </c>
      <c r="Q11" s="49"/>
      <c r="R11" s="49">
        <f t="shared" si="3"/>
        <v>16.012</v>
      </c>
      <c r="S11" s="49">
        <f t="shared" si="4"/>
        <v>13.361900000000002</v>
      </c>
      <c r="T11" s="49">
        <f t="shared" si="4"/>
        <v>2.6501000000000001</v>
      </c>
      <c r="U11" s="108">
        <f t="shared" si="5"/>
        <v>0.1655071196602548</v>
      </c>
      <c r="V11" s="49"/>
      <c r="W11" s="49">
        <f t="shared" si="6"/>
        <v>13.481232481888583</v>
      </c>
      <c r="X11" s="49">
        <f t="shared" si="7"/>
        <v>3.4887675181114166</v>
      </c>
      <c r="Y11" s="49"/>
      <c r="AE11" s="49"/>
      <c r="AF11" s="49"/>
      <c r="AG11" s="49">
        <f t="shared" si="8"/>
        <v>0.18099999999999999</v>
      </c>
      <c r="AH11" s="49"/>
      <c r="AJ11" s="49"/>
      <c r="AK11" s="49"/>
      <c r="AL11" s="49">
        <f t="shared" si="9"/>
        <v>0.18099999999999999</v>
      </c>
    </row>
    <row r="12" spans="1:38">
      <c r="B12" s="8">
        <v>2004</v>
      </c>
      <c r="C12" s="8"/>
      <c r="D12" s="49">
        <v>17.332999999999998</v>
      </c>
      <c r="E12" s="49">
        <v>16.434000000000001</v>
      </c>
      <c r="F12" s="49">
        <v>0.121</v>
      </c>
      <c r="G12" s="49">
        <v>0.61</v>
      </c>
      <c r="H12" s="49">
        <v>0.16900000000000001</v>
      </c>
      <c r="I12" s="49"/>
      <c r="J12" s="49">
        <v>15.615</v>
      </c>
      <c r="K12" s="49">
        <v>13.167</v>
      </c>
      <c r="L12" s="49">
        <v>2.448</v>
      </c>
      <c r="M12" s="49"/>
      <c r="N12" s="49">
        <f t="shared" si="0"/>
        <v>0.81900000000000084</v>
      </c>
      <c r="O12" s="49">
        <f t="shared" si="1"/>
        <v>0.73710000000000075</v>
      </c>
      <c r="P12" s="49">
        <f t="shared" si="2"/>
        <v>8.1900000000000084E-2</v>
      </c>
      <c r="Q12" s="49"/>
      <c r="R12" s="49">
        <f t="shared" si="3"/>
        <v>16.434000000000001</v>
      </c>
      <c r="S12" s="49">
        <f t="shared" si="4"/>
        <v>13.9041</v>
      </c>
      <c r="T12" s="49">
        <f t="shared" si="4"/>
        <v>2.5299</v>
      </c>
      <c r="U12" s="108">
        <f t="shared" si="5"/>
        <v>0.15394304490690033</v>
      </c>
      <c r="V12" s="49"/>
      <c r="W12" s="49">
        <f>D12-X12</f>
        <v>14.005472891566264</v>
      </c>
      <c r="X12" s="49">
        <f t="shared" si="7"/>
        <v>3.3275271084337348</v>
      </c>
      <c r="Y12" s="49"/>
      <c r="AE12" s="49"/>
      <c r="AF12" s="49"/>
      <c r="AG12" s="49">
        <f t="shared" si="8"/>
        <v>0.16900000000000001</v>
      </c>
      <c r="AH12" s="49"/>
      <c r="AJ12" s="49"/>
      <c r="AK12" s="49"/>
      <c r="AL12" s="49">
        <f t="shared" si="9"/>
        <v>0.16900000000000001</v>
      </c>
    </row>
    <row r="13" spans="1:38">
      <c r="B13" s="8">
        <v>2005</v>
      </c>
      <c r="C13" s="8"/>
      <c r="D13" s="49">
        <v>17.899000000000001</v>
      </c>
      <c r="E13" s="49">
        <v>17.033000000000001</v>
      </c>
      <c r="F13" s="49">
        <v>0.14299999999999999</v>
      </c>
      <c r="G13" s="49">
        <v>0.56499999999999995</v>
      </c>
      <c r="H13" s="49">
        <v>0.159</v>
      </c>
      <c r="I13" s="49"/>
      <c r="J13" s="49">
        <v>16.166</v>
      </c>
      <c r="K13" s="49">
        <v>13.695</v>
      </c>
      <c r="L13" s="49">
        <v>2.4710000000000001</v>
      </c>
      <c r="M13" s="49"/>
      <c r="N13" s="49">
        <f t="shared" si="0"/>
        <v>0.86700000000000088</v>
      </c>
      <c r="O13" s="49">
        <f t="shared" si="1"/>
        <v>0.78030000000000077</v>
      </c>
      <c r="P13" s="49">
        <f t="shared" si="2"/>
        <v>8.6700000000000096E-2</v>
      </c>
      <c r="Q13" s="49"/>
      <c r="R13" s="49">
        <f t="shared" si="3"/>
        <v>17.033000000000001</v>
      </c>
      <c r="S13" s="49">
        <f t="shared" si="4"/>
        <v>14.475300000000001</v>
      </c>
      <c r="T13" s="49">
        <f t="shared" si="4"/>
        <v>2.5577000000000001</v>
      </c>
      <c r="U13" s="108">
        <f t="shared" si="5"/>
        <v>0.15016145130041683</v>
      </c>
      <c r="V13" s="49"/>
      <c r="W13" s="49">
        <f t="shared" si="6"/>
        <v>14.595826912464041</v>
      </c>
      <c r="X13" s="49">
        <f t="shared" si="7"/>
        <v>3.3031730875359595</v>
      </c>
      <c r="Y13" s="49"/>
      <c r="AE13" s="49"/>
      <c r="AF13" s="49"/>
      <c r="AG13" s="49">
        <f t="shared" si="8"/>
        <v>0.159</v>
      </c>
      <c r="AH13" s="49"/>
      <c r="AJ13" s="49"/>
      <c r="AK13" s="49"/>
      <c r="AL13" s="49">
        <f t="shared" si="9"/>
        <v>0.159</v>
      </c>
    </row>
    <row r="14" spans="1:38">
      <c r="B14" s="8">
        <v>2006</v>
      </c>
      <c r="C14" s="8"/>
      <c r="D14" s="49">
        <v>18.3</v>
      </c>
      <c r="E14" s="49">
        <v>17.48</v>
      </c>
      <c r="F14" s="49">
        <v>0.13700000000000001</v>
      </c>
      <c r="G14" s="49">
        <v>0.53500000000000003</v>
      </c>
      <c r="H14" s="49">
        <v>0.14799999999999999</v>
      </c>
      <c r="I14" s="49"/>
      <c r="J14" s="49">
        <v>16.609000000000002</v>
      </c>
      <c r="K14" s="49">
        <v>14.016999999999999</v>
      </c>
      <c r="L14" s="49">
        <v>2.5920000000000001</v>
      </c>
      <c r="M14" s="49"/>
      <c r="N14" s="49">
        <f t="shared" si="0"/>
        <v>0.87099999999999866</v>
      </c>
      <c r="O14" s="49">
        <f t="shared" si="1"/>
        <v>0.78389999999999882</v>
      </c>
      <c r="P14" s="49">
        <f t="shared" si="2"/>
        <v>8.7099999999999872E-2</v>
      </c>
      <c r="Q14" s="49"/>
      <c r="R14" s="49">
        <f t="shared" si="3"/>
        <v>17.479999999999997</v>
      </c>
      <c r="S14" s="49">
        <f t="shared" si="4"/>
        <v>14.800899999999999</v>
      </c>
      <c r="T14" s="49">
        <f t="shared" si="4"/>
        <v>2.6791</v>
      </c>
      <c r="U14" s="108">
        <f t="shared" si="5"/>
        <v>0.15326659038901605</v>
      </c>
      <c r="V14" s="49"/>
      <c r="W14" s="49">
        <f t="shared" si="6"/>
        <v>14.916902477116706</v>
      </c>
      <c r="X14" s="49">
        <f t="shared" si="7"/>
        <v>3.3830975228832956</v>
      </c>
      <c r="Y14" s="49"/>
      <c r="AE14" s="49"/>
      <c r="AF14" s="49"/>
      <c r="AG14" s="49">
        <f t="shared" si="8"/>
        <v>0.14799999999999999</v>
      </c>
      <c r="AH14" s="49"/>
      <c r="AJ14" s="49"/>
      <c r="AK14" s="49"/>
      <c r="AL14" s="49">
        <f t="shared" si="9"/>
        <v>0.14799999999999999</v>
      </c>
    </row>
    <row r="15" spans="1:38">
      <c r="B15" s="8">
        <v>2007</v>
      </c>
      <c r="C15" s="8"/>
      <c r="D15" s="49">
        <v>19.312999999999999</v>
      </c>
      <c r="E15" s="49">
        <v>18.419</v>
      </c>
      <c r="F15" s="49">
        <v>0.20699999999999999</v>
      </c>
      <c r="G15" s="49">
        <v>0.54200000000000004</v>
      </c>
      <c r="H15" s="49">
        <v>0.14499999999999999</v>
      </c>
      <c r="I15" s="49"/>
      <c r="J15" s="49">
        <v>17.649999999999999</v>
      </c>
      <c r="K15" s="49">
        <v>15.162000000000001</v>
      </c>
      <c r="L15" s="49">
        <v>2.488</v>
      </c>
      <c r="M15" s="49"/>
      <c r="N15" s="49">
        <f t="shared" si="0"/>
        <v>0.7690000000000019</v>
      </c>
      <c r="O15" s="49">
        <f t="shared" si="1"/>
        <v>0.69210000000000171</v>
      </c>
      <c r="P15" s="49">
        <f t="shared" si="2"/>
        <v>7.690000000000019E-2</v>
      </c>
      <c r="Q15" s="49"/>
      <c r="R15" s="49">
        <f t="shared" si="3"/>
        <v>18.419000000000004</v>
      </c>
      <c r="S15" s="49">
        <f t="shared" si="4"/>
        <v>15.854100000000003</v>
      </c>
      <c r="T15" s="49">
        <f t="shared" si="4"/>
        <v>2.5649000000000002</v>
      </c>
      <c r="U15" s="108">
        <f t="shared" si="5"/>
        <v>0.13925294532819368</v>
      </c>
      <c r="V15" s="49"/>
      <c r="W15" s="49">
        <f t="shared" si="6"/>
        <v>16.032274640317063</v>
      </c>
      <c r="X15" s="49">
        <f t="shared" si="7"/>
        <v>3.2807253596829367</v>
      </c>
      <c r="Y15" s="49"/>
      <c r="Z15" s="49">
        <f>W15-AC15</f>
        <v>10.662274640317062</v>
      </c>
      <c r="AA15" s="49">
        <f>X15</f>
        <v>3.2807253596829367</v>
      </c>
      <c r="AB15" s="49"/>
      <c r="AC15" s="49">
        <v>5.37</v>
      </c>
      <c r="AE15" s="49"/>
      <c r="AF15" s="49"/>
      <c r="AG15" s="49">
        <f t="shared" si="8"/>
        <v>0.14499999999999999</v>
      </c>
      <c r="AH15" s="49"/>
      <c r="AJ15" s="49"/>
      <c r="AK15" s="49"/>
      <c r="AL15" s="49">
        <f t="shared" si="9"/>
        <v>0.14499999999999999</v>
      </c>
    </row>
    <row r="16" spans="1:38">
      <c r="B16" s="8">
        <v>2008</v>
      </c>
      <c r="C16" s="8"/>
      <c r="D16" s="49">
        <v>19.423999999999999</v>
      </c>
      <c r="E16" s="49">
        <v>18.523</v>
      </c>
      <c r="F16" s="49">
        <v>0.20799999999999999</v>
      </c>
      <c r="G16" s="49">
        <v>0.54800000000000004</v>
      </c>
      <c r="H16" s="49">
        <v>0.14599999999999999</v>
      </c>
      <c r="I16" s="49"/>
      <c r="J16" s="49">
        <v>17.709</v>
      </c>
      <c r="K16" s="49">
        <v>14.975</v>
      </c>
      <c r="L16" s="49">
        <v>2.734</v>
      </c>
      <c r="M16" s="49"/>
      <c r="N16" s="49">
        <f t="shared" si="0"/>
        <v>0.81400000000000006</v>
      </c>
      <c r="O16" s="49">
        <f t="shared" si="1"/>
        <v>0.73260000000000003</v>
      </c>
      <c r="P16" s="49">
        <f t="shared" si="2"/>
        <v>8.1400000000000014E-2</v>
      </c>
      <c r="Q16" s="49"/>
      <c r="R16" s="49">
        <f t="shared" si="3"/>
        <v>18.523</v>
      </c>
      <c r="S16" s="49">
        <f t="shared" si="4"/>
        <v>15.707599999999999</v>
      </c>
      <c r="T16" s="49">
        <f t="shared" si="4"/>
        <v>2.8153999999999999</v>
      </c>
      <c r="U16" s="108">
        <f t="shared" si="5"/>
        <v>0.15199481725422448</v>
      </c>
      <c r="V16" s="49"/>
      <c r="W16" s="49">
        <f t="shared" si="6"/>
        <v>15.882985078011121</v>
      </c>
      <c r="X16" s="49">
        <f t="shared" si="7"/>
        <v>3.5410149219888787</v>
      </c>
      <c r="Y16" s="49"/>
      <c r="Z16" s="49">
        <f t="shared" ref="Z16:Z24" si="10">W16-AC16</f>
        <v>10.222985078011121</v>
      </c>
      <c r="AA16" s="49">
        <f t="shared" ref="AA16:AA24" si="11">X16</f>
        <v>3.5410149219888787</v>
      </c>
      <c r="AB16" s="49"/>
      <c r="AC16" s="49">
        <v>5.66</v>
      </c>
      <c r="AE16" s="49"/>
      <c r="AF16" s="49"/>
      <c r="AG16" s="49">
        <f t="shared" si="8"/>
        <v>0.14599999999999999</v>
      </c>
      <c r="AH16" s="49"/>
      <c r="AJ16" s="49"/>
      <c r="AK16" s="49"/>
      <c r="AL16" s="49">
        <f t="shared" si="9"/>
        <v>0.14599999999999999</v>
      </c>
    </row>
    <row r="17" spans="2:38">
      <c r="B17" s="8">
        <v>2009</v>
      </c>
      <c r="C17" s="8"/>
      <c r="D17" s="49">
        <v>18.274000000000001</v>
      </c>
      <c r="E17" s="49">
        <v>17.367999999999999</v>
      </c>
      <c r="F17" s="49">
        <v>0.219</v>
      </c>
      <c r="G17" s="49">
        <v>0.54300000000000004</v>
      </c>
      <c r="H17" s="49">
        <v>0.14499999999999999</v>
      </c>
      <c r="I17" s="49"/>
      <c r="J17" s="49">
        <v>16.619</v>
      </c>
      <c r="K17" s="49">
        <v>13.976000000000001</v>
      </c>
      <c r="L17" s="49">
        <v>2.6429999999999998</v>
      </c>
      <c r="M17" s="49"/>
      <c r="N17" s="49">
        <f t="shared" si="0"/>
        <v>0.74899999999999878</v>
      </c>
      <c r="O17" s="49">
        <f t="shared" si="1"/>
        <v>0.67409999999999892</v>
      </c>
      <c r="P17" s="49">
        <f t="shared" si="2"/>
        <v>7.4899999999999883E-2</v>
      </c>
      <c r="Q17" s="49"/>
      <c r="R17" s="49">
        <f t="shared" si="3"/>
        <v>17.367999999999999</v>
      </c>
      <c r="S17" s="49">
        <f t="shared" si="4"/>
        <v>14.6501</v>
      </c>
      <c r="T17" s="49">
        <f t="shared" si="4"/>
        <v>2.7178999999999998</v>
      </c>
      <c r="U17" s="108">
        <f t="shared" si="5"/>
        <v>0.15648894518654999</v>
      </c>
      <c r="V17" s="49"/>
      <c r="W17" s="49">
        <f t="shared" si="6"/>
        <v>14.833828921004146</v>
      </c>
      <c r="X17" s="49">
        <f t="shared" si="7"/>
        <v>3.4401710789958542</v>
      </c>
      <c r="Y17" s="49"/>
      <c r="Z17" s="49">
        <f t="shared" si="10"/>
        <v>8.4638289210041471</v>
      </c>
      <c r="AA17" s="49">
        <f t="shared" si="11"/>
        <v>3.4401710789958542</v>
      </c>
      <c r="AB17" s="49"/>
      <c r="AC17" s="49">
        <v>6.37</v>
      </c>
      <c r="AE17" s="49"/>
      <c r="AF17" s="49"/>
      <c r="AG17" s="49">
        <f t="shared" si="8"/>
        <v>0.14499999999999999</v>
      </c>
      <c r="AH17" s="49"/>
      <c r="AJ17" s="49"/>
      <c r="AK17" s="49"/>
      <c r="AL17" s="49">
        <f t="shared" si="9"/>
        <v>0.14499999999999999</v>
      </c>
    </row>
    <row r="18" spans="2:38">
      <c r="B18" s="8">
        <v>2010</v>
      </c>
      <c r="C18" s="8"/>
      <c r="D18" s="49">
        <v>18.922999999999998</v>
      </c>
      <c r="E18" s="49">
        <v>17.96</v>
      </c>
      <c r="F18" s="49">
        <v>0.27600000000000002</v>
      </c>
      <c r="G18" s="49">
        <v>0.53200000000000003</v>
      </c>
      <c r="H18" s="49">
        <v>0.155</v>
      </c>
      <c r="I18" s="49"/>
      <c r="J18" s="49">
        <v>17.193000000000001</v>
      </c>
      <c r="K18" s="49">
        <v>14.789</v>
      </c>
      <c r="L18" s="49">
        <v>2.4039999999999999</v>
      </c>
      <c r="M18" s="49"/>
      <c r="N18" s="49">
        <f t="shared" si="0"/>
        <v>0.76699999999999946</v>
      </c>
      <c r="O18" s="49">
        <f t="shared" si="1"/>
        <v>0.69029999999999958</v>
      </c>
      <c r="P18" s="49">
        <f t="shared" si="2"/>
        <v>7.6699999999999949E-2</v>
      </c>
      <c r="Q18" s="49"/>
      <c r="R18" s="49">
        <f t="shared" si="3"/>
        <v>17.959999999999997</v>
      </c>
      <c r="S18" s="49">
        <f t="shared" si="4"/>
        <v>15.479299999999999</v>
      </c>
      <c r="T18" s="49">
        <f t="shared" si="4"/>
        <v>2.4806999999999997</v>
      </c>
      <c r="U18" s="108">
        <f t="shared" si="5"/>
        <v>0.13812360801781737</v>
      </c>
      <c r="V18" s="49"/>
      <c r="W18" s="49">
        <f t="shared" si="6"/>
        <v>15.71717788418708</v>
      </c>
      <c r="X18" s="49">
        <f t="shared" si="7"/>
        <v>3.205822115812917</v>
      </c>
      <c r="Y18" s="49"/>
      <c r="Z18" s="49">
        <f t="shared" si="10"/>
        <v>9.06717788418708</v>
      </c>
      <c r="AA18" s="49">
        <f t="shared" si="11"/>
        <v>3.205822115812917</v>
      </c>
      <c r="AB18" s="49"/>
      <c r="AC18" s="49">
        <v>6.65</v>
      </c>
      <c r="AE18" s="49"/>
      <c r="AF18" s="49"/>
      <c r="AG18" s="49">
        <f t="shared" si="8"/>
        <v>0.155</v>
      </c>
      <c r="AH18" s="49"/>
      <c r="AJ18" s="49"/>
      <c r="AK18" s="49"/>
      <c r="AL18" s="49">
        <f t="shared" si="9"/>
        <v>0.155</v>
      </c>
    </row>
    <row r="19" spans="2:38">
      <c r="B19" s="8">
        <v>2011</v>
      </c>
      <c r="C19" s="8"/>
      <c r="D19" s="49">
        <v>20.093</v>
      </c>
      <c r="E19" s="49">
        <v>19.068999999999999</v>
      </c>
      <c r="F19" s="49">
        <v>0.29799999999999999</v>
      </c>
      <c r="G19" s="49">
        <v>0.52</v>
      </c>
      <c r="H19" s="49">
        <v>0.20499999999999999</v>
      </c>
      <c r="I19" s="49"/>
      <c r="J19" s="49">
        <v>18.29</v>
      </c>
      <c r="K19" s="49">
        <v>15.986000000000001</v>
      </c>
      <c r="L19" s="49">
        <v>2.3039999999999998</v>
      </c>
      <c r="M19" s="49"/>
      <c r="N19" s="49">
        <f t="shared" si="0"/>
        <v>0.77899999999999991</v>
      </c>
      <c r="O19" s="49">
        <f t="shared" si="1"/>
        <v>0.70109999999999995</v>
      </c>
      <c r="P19" s="49">
        <f t="shared" si="2"/>
        <v>7.7899999999999997E-2</v>
      </c>
      <c r="Q19" s="49"/>
      <c r="R19" s="49">
        <f t="shared" si="3"/>
        <v>19.069000000000003</v>
      </c>
      <c r="S19" s="49">
        <f t="shared" si="4"/>
        <v>16.687100000000001</v>
      </c>
      <c r="T19" s="49">
        <f t="shared" si="4"/>
        <v>2.3818999999999999</v>
      </c>
      <c r="U19" s="108">
        <f t="shared" si="5"/>
        <v>0.12490953904242486</v>
      </c>
      <c r="V19" s="49"/>
      <c r="W19" s="49">
        <f t="shared" si="6"/>
        <v>16.996363361800416</v>
      </c>
      <c r="X19" s="49">
        <f t="shared" si="7"/>
        <v>3.0966366381995845</v>
      </c>
      <c r="Y19" s="49"/>
      <c r="Z19" s="49">
        <f t="shared" si="10"/>
        <v>9.8863633618004165</v>
      </c>
      <c r="AA19" s="49">
        <f t="shared" si="11"/>
        <v>3.0966366381995845</v>
      </c>
      <c r="AB19" s="49"/>
      <c r="AC19" s="49">
        <v>7.11</v>
      </c>
      <c r="AE19" s="49"/>
      <c r="AF19" s="49">
        <v>4.8000000000000001E-2</v>
      </c>
      <c r="AG19" s="49">
        <f t="shared" si="8"/>
        <v>0.15699999999999997</v>
      </c>
      <c r="AH19" s="49"/>
      <c r="AI19" s="108">
        <v>1.0699907602956702E-2</v>
      </c>
      <c r="AJ19" s="49"/>
      <c r="AK19" s="49">
        <f t="shared" ref="AK19:AK24" si="12">AE19*(1-U19)+AF19*(1-AI19)</f>
        <v>4.7486404435058083E-2</v>
      </c>
      <c r="AL19" s="49">
        <f t="shared" si="9"/>
        <v>0.15751359556494191</v>
      </c>
    </row>
    <row r="20" spans="2:38">
      <c r="B20" s="8">
        <v>2012</v>
      </c>
      <c r="C20" s="8"/>
      <c r="D20" s="49">
        <v>20.318000000000001</v>
      </c>
      <c r="E20" s="49">
        <v>19.283999999999999</v>
      </c>
      <c r="F20" s="49">
        <v>0.40200000000000002</v>
      </c>
      <c r="G20" s="49">
        <v>0.437</v>
      </c>
      <c r="H20" s="49">
        <v>0.19600000000000001</v>
      </c>
      <c r="I20" s="49"/>
      <c r="J20" s="49">
        <v>18.478999999999999</v>
      </c>
      <c r="K20" s="49">
        <v>16.062000000000001</v>
      </c>
      <c r="L20" s="49">
        <v>2.4169999999999998</v>
      </c>
      <c r="M20" s="49"/>
      <c r="N20" s="49">
        <f t="shared" si="0"/>
        <v>0.80499999999999972</v>
      </c>
      <c r="O20" s="49">
        <f t="shared" si="1"/>
        <v>0.72449999999999981</v>
      </c>
      <c r="P20" s="49">
        <f t="shared" si="2"/>
        <v>8.0499999999999974E-2</v>
      </c>
      <c r="Q20" s="49"/>
      <c r="R20" s="49">
        <f t="shared" si="3"/>
        <v>19.283999999999999</v>
      </c>
      <c r="S20" s="49">
        <f t="shared" si="4"/>
        <v>16.7865</v>
      </c>
      <c r="T20" s="49">
        <f t="shared" si="4"/>
        <v>2.4974999999999996</v>
      </c>
      <c r="U20" s="108">
        <f t="shared" si="5"/>
        <v>0.12951151213441192</v>
      </c>
      <c r="V20" s="49"/>
      <c r="W20" s="49">
        <f t="shared" si="6"/>
        <v>17.195905758287296</v>
      </c>
      <c r="X20" s="49">
        <f t="shared" si="7"/>
        <v>3.1220942417127051</v>
      </c>
      <c r="Y20" s="49"/>
      <c r="Z20" s="49">
        <f t="shared" si="10"/>
        <v>9.605905758287296</v>
      </c>
      <c r="AA20" s="49">
        <f t="shared" si="11"/>
        <v>3.1220942417127051</v>
      </c>
      <c r="AB20" s="49"/>
      <c r="AC20" s="49">
        <v>7.59</v>
      </c>
      <c r="AE20" s="49"/>
      <c r="AF20" s="49">
        <v>6.3438283999999998E-2</v>
      </c>
      <c r="AG20" s="49">
        <f t="shared" si="8"/>
        <v>0.132561716</v>
      </c>
      <c r="AH20" s="49"/>
      <c r="AI20" s="108">
        <v>4.6799781574674161E-2</v>
      </c>
      <c r="AJ20" s="49"/>
      <c r="AK20" s="49">
        <f t="shared" si="12"/>
        <v>6.0469386165327856E-2</v>
      </c>
      <c r="AL20" s="49">
        <f t="shared" si="9"/>
        <v>0.13553061383467213</v>
      </c>
    </row>
    <row r="21" spans="2:38">
      <c r="B21" s="8">
        <v>2013</v>
      </c>
      <c r="C21" s="8"/>
      <c r="D21" s="49">
        <v>21.734999999999999</v>
      </c>
      <c r="E21" s="49">
        <v>20.818000000000001</v>
      </c>
      <c r="F21" s="49">
        <v>0.29899999999999999</v>
      </c>
      <c r="G21" s="49">
        <v>0.38800000000000001</v>
      </c>
      <c r="H21" s="49">
        <v>0.23</v>
      </c>
      <c r="I21" s="49"/>
      <c r="J21" s="49">
        <v>19.646000000000001</v>
      </c>
      <c r="K21" s="49">
        <v>17.245999999999999</v>
      </c>
      <c r="L21" s="49">
        <v>2.4</v>
      </c>
      <c r="M21" s="49"/>
      <c r="N21" s="49">
        <f t="shared" si="0"/>
        <v>1.1720000000000006</v>
      </c>
      <c r="O21" s="49">
        <f t="shared" si="1"/>
        <v>1.0548000000000006</v>
      </c>
      <c r="P21" s="49">
        <f t="shared" si="2"/>
        <v>0.11720000000000007</v>
      </c>
      <c r="Q21" s="49"/>
      <c r="R21" s="49">
        <f t="shared" si="3"/>
        <v>20.817999999999998</v>
      </c>
      <c r="S21" s="49">
        <f t="shared" si="4"/>
        <v>18.300799999999999</v>
      </c>
      <c r="T21" s="49">
        <f t="shared" si="4"/>
        <v>2.5171999999999999</v>
      </c>
      <c r="U21" s="108">
        <f t="shared" si="5"/>
        <v>0.12091459314055145</v>
      </c>
      <c r="V21" s="49"/>
      <c r="W21" s="49">
        <f t="shared" si="6"/>
        <v>18.64704274666207</v>
      </c>
      <c r="X21" s="49">
        <f t="shared" si="7"/>
        <v>3.0879572533379305</v>
      </c>
      <c r="Y21" s="49"/>
      <c r="Z21" s="49">
        <f t="shared" si="10"/>
        <v>10.53704274666207</v>
      </c>
      <c r="AA21" s="49">
        <f t="shared" si="11"/>
        <v>3.0879572533379305</v>
      </c>
      <c r="AB21" s="49"/>
      <c r="AC21" s="49">
        <v>8.11</v>
      </c>
      <c r="AE21" s="49"/>
      <c r="AF21" s="49">
        <v>8.4047194000000006E-2</v>
      </c>
      <c r="AG21" s="49">
        <f t="shared" si="8"/>
        <v>0.14595280599999999</v>
      </c>
      <c r="AH21" s="49"/>
      <c r="AI21" s="108">
        <v>7.7454577353953486E-3</v>
      </c>
      <c r="AJ21" s="49"/>
      <c r="AK21" s="49">
        <f t="shared" si="12"/>
        <v>8.3396210011094429E-2</v>
      </c>
      <c r="AL21" s="49">
        <f t="shared" si="9"/>
        <v>0.14660378998890555</v>
      </c>
    </row>
    <row r="22" spans="2:38">
      <c r="B22" s="8">
        <v>2014</v>
      </c>
      <c r="C22" s="8"/>
      <c r="D22" s="49">
        <v>23.646999999999998</v>
      </c>
      <c r="E22" s="49">
        <v>21.260999999999999</v>
      </c>
      <c r="F22" s="49">
        <v>0.23100000000000001</v>
      </c>
      <c r="G22" s="49">
        <v>0.313</v>
      </c>
      <c r="H22" s="49">
        <v>1.843</v>
      </c>
      <c r="I22" s="49"/>
      <c r="J22" s="49">
        <v>19.916</v>
      </c>
      <c r="K22" s="49">
        <v>17.742999999999999</v>
      </c>
      <c r="L22" s="49">
        <v>2.173</v>
      </c>
      <c r="M22" s="49"/>
      <c r="N22" s="49">
        <f t="shared" si="0"/>
        <v>1.3449999999999989</v>
      </c>
      <c r="O22" s="49">
        <f t="shared" si="1"/>
        <v>1.210499999999999</v>
      </c>
      <c r="P22" s="49">
        <f t="shared" si="2"/>
        <v>0.1344999999999999</v>
      </c>
      <c r="Q22" s="49"/>
      <c r="R22" s="49">
        <f t="shared" si="3"/>
        <v>21.260999999999999</v>
      </c>
      <c r="S22" s="49">
        <f t="shared" si="4"/>
        <v>18.953499999999998</v>
      </c>
      <c r="T22" s="49">
        <f t="shared" si="4"/>
        <v>2.3075000000000001</v>
      </c>
      <c r="U22" s="108">
        <f t="shared" si="5"/>
        <v>0.10853205399557876</v>
      </c>
      <c r="V22" s="49"/>
      <c r="W22" s="49">
        <f t="shared" si="6"/>
        <v>20.672569090937245</v>
      </c>
      <c r="X22" s="49">
        <f t="shared" si="7"/>
        <v>2.9744309090627525</v>
      </c>
      <c r="Y22" s="49"/>
      <c r="Z22" s="49">
        <f t="shared" si="10"/>
        <v>12.982569090937243</v>
      </c>
      <c r="AA22" s="49">
        <f t="shared" si="11"/>
        <v>2.9744309090627525</v>
      </c>
      <c r="AB22" s="49"/>
      <c r="AC22" s="49">
        <v>7.69</v>
      </c>
      <c r="AE22" s="49">
        <v>1.601</v>
      </c>
      <c r="AF22" s="49">
        <v>8.8376708000000012E-2</v>
      </c>
      <c r="AG22" s="49">
        <f t="shared" si="8"/>
        <v>0.15362329199999997</v>
      </c>
      <c r="AH22" s="49"/>
      <c r="AI22" s="108">
        <v>1.6711350493525855E-2</v>
      </c>
      <c r="AJ22" s="49"/>
      <c r="AK22" s="49">
        <f t="shared" si="12"/>
        <v>1.5141399954102264</v>
      </c>
      <c r="AL22" s="49">
        <f>AE22*U22+AF22*AI22+AG22</f>
        <v>0.32886000458977355</v>
      </c>
    </row>
    <row r="23" spans="2:38">
      <c r="B23" s="8">
        <v>2015</v>
      </c>
      <c r="C23" s="8"/>
      <c r="D23" s="49">
        <v>24.917999999999999</v>
      </c>
      <c r="E23" s="49">
        <v>21.58</v>
      </c>
      <c r="F23" s="49">
        <v>0.217</v>
      </c>
      <c r="G23" s="49">
        <v>0.315</v>
      </c>
      <c r="H23" s="49">
        <v>2.806</v>
      </c>
      <c r="I23" s="49"/>
      <c r="J23" s="49">
        <v>20.048999999999999</v>
      </c>
      <c r="K23" s="49">
        <v>17.815000000000001</v>
      </c>
      <c r="L23" s="49">
        <v>2.2360000000000002</v>
      </c>
      <c r="M23" s="49"/>
      <c r="N23" s="49">
        <f t="shared" si="0"/>
        <v>1.5309999999999988</v>
      </c>
      <c r="O23" s="49">
        <f t="shared" si="1"/>
        <v>1.377899999999999</v>
      </c>
      <c r="P23" s="49">
        <f t="shared" si="2"/>
        <v>0.1530999999999999</v>
      </c>
      <c r="Q23" s="49"/>
      <c r="R23" s="49">
        <f t="shared" si="3"/>
        <v>21.582000000000001</v>
      </c>
      <c r="S23" s="49">
        <f t="shared" si="4"/>
        <v>19.192900000000002</v>
      </c>
      <c r="T23" s="49">
        <f t="shared" si="4"/>
        <v>2.3891</v>
      </c>
      <c r="U23" s="108">
        <f t="shared" si="5"/>
        <v>0.11069873042350106</v>
      </c>
      <c r="V23" s="49"/>
      <c r="W23" s="49">
        <f t="shared" si="6"/>
        <v>21.778997297131777</v>
      </c>
      <c r="X23" s="49">
        <f t="shared" si="7"/>
        <v>3.139002702868221</v>
      </c>
      <c r="Y23" s="49"/>
      <c r="Z23" s="49">
        <f t="shared" si="10"/>
        <v>13.648997297131777</v>
      </c>
      <c r="AA23" s="49">
        <f t="shared" si="11"/>
        <v>3.139002702868221</v>
      </c>
      <c r="AB23" s="49"/>
      <c r="AC23" s="49">
        <v>8.1300000000000008</v>
      </c>
      <c r="AE23" s="49">
        <v>2.569</v>
      </c>
      <c r="AF23" s="49">
        <v>0.11559356599999999</v>
      </c>
      <c r="AG23" s="49">
        <f t="shared" si="8"/>
        <v>0.1214064340000001</v>
      </c>
      <c r="AH23" s="49"/>
      <c r="AI23" s="108">
        <v>4.4030183378431308E-2</v>
      </c>
      <c r="AJ23" s="49"/>
      <c r="AK23" s="49">
        <f t="shared" si="12"/>
        <v>2.3951189216336788</v>
      </c>
      <c r="AL23" s="49">
        <f t="shared" si="9"/>
        <v>0.41088107836632115</v>
      </c>
    </row>
    <row r="24" spans="2:38">
      <c r="B24" s="233">
        <v>2016</v>
      </c>
      <c r="C24" s="14"/>
      <c r="D24" s="50">
        <v>27.140999999999998</v>
      </c>
      <c r="E24" s="50">
        <v>22.175000000000001</v>
      </c>
      <c r="F24" s="50">
        <v>0.18</v>
      </c>
      <c r="G24" s="50">
        <v>0.32800000000000001</v>
      </c>
      <c r="H24" s="50">
        <v>4.4580000000000002</v>
      </c>
      <c r="I24" s="49"/>
      <c r="J24" s="50">
        <v>20.66</v>
      </c>
      <c r="K24" s="50">
        <v>18.47</v>
      </c>
      <c r="L24" s="50">
        <v>2.1880000000000002</v>
      </c>
      <c r="M24" s="49"/>
      <c r="N24" s="50">
        <f t="shared" si="0"/>
        <v>1.5150000000000006</v>
      </c>
      <c r="O24" s="50">
        <f t="shared" si="1"/>
        <v>1.3635000000000006</v>
      </c>
      <c r="P24" s="50">
        <f t="shared" si="2"/>
        <v>0.15150000000000008</v>
      </c>
      <c r="Q24" s="49"/>
      <c r="R24" s="50">
        <f t="shared" si="3"/>
        <v>22.173000000000002</v>
      </c>
      <c r="S24" s="50">
        <f t="shared" si="4"/>
        <v>19.833500000000001</v>
      </c>
      <c r="T24" s="50">
        <f t="shared" si="4"/>
        <v>2.3395000000000001</v>
      </c>
      <c r="U24" s="109">
        <f t="shared" si="5"/>
        <v>0.10551120732422316</v>
      </c>
      <c r="V24" s="49"/>
      <c r="W24" s="50">
        <f t="shared" si="6"/>
        <v>23.876894427378861</v>
      </c>
      <c r="X24" s="50">
        <f t="shared" si="7"/>
        <v>3.2641055726211374</v>
      </c>
      <c r="Y24" s="49"/>
      <c r="Z24" s="50">
        <f t="shared" si="10"/>
        <v>15.646894427378861</v>
      </c>
      <c r="AA24" s="50">
        <f t="shared" si="11"/>
        <v>3.2641055726211374</v>
      </c>
      <c r="AB24" s="110"/>
      <c r="AC24" s="50">
        <v>8.23</v>
      </c>
      <c r="AE24" s="50">
        <v>4.2190000000000003</v>
      </c>
      <c r="AF24" s="49">
        <v>0.11034614000000001</v>
      </c>
      <c r="AG24" s="50">
        <f t="shared" si="8"/>
        <v>0.12865385999999987</v>
      </c>
      <c r="AH24" s="110"/>
      <c r="AI24" s="109">
        <v>3.4508788453134091E-2</v>
      </c>
      <c r="AJ24" s="110"/>
      <c r="AK24" s="50">
        <f t="shared" si="12"/>
        <v>3.8803864446972227</v>
      </c>
      <c r="AL24" s="50">
        <f t="shared" si="9"/>
        <v>0.57761355530277736</v>
      </c>
    </row>
    <row r="25" spans="2:38" ht="15.95" customHeight="1">
      <c r="B25" s="2" t="s">
        <v>159</v>
      </c>
      <c r="C25" s="2"/>
      <c r="D25" s="265" t="s">
        <v>294</v>
      </c>
      <c r="E25" s="265"/>
      <c r="F25" s="265"/>
      <c r="G25" s="265"/>
      <c r="H25" s="265"/>
      <c r="I25" s="2"/>
      <c r="J25" s="265" t="s">
        <v>295</v>
      </c>
      <c r="K25" s="265"/>
      <c r="L25" s="265"/>
      <c r="M25" s="2"/>
      <c r="N25" s="265" t="s">
        <v>296</v>
      </c>
      <c r="O25" s="265"/>
      <c r="P25" s="265"/>
      <c r="Q25" s="2"/>
      <c r="R25" s="2"/>
      <c r="S25" s="265" t="s">
        <v>297</v>
      </c>
      <c r="T25" s="265"/>
      <c r="U25" s="2"/>
      <c r="V25" s="2"/>
      <c r="W25" s="265" t="s">
        <v>298</v>
      </c>
      <c r="X25" s="265"/>
      <c r="Y25" s="2"/>
      <c r="Z25" s="265" t="s">
        <v>166</v>
      </c>
      <c r="AA25" s="265"/>
      <c r="AB25" s="2"/>
      <c r="AC25" s="232" t="s">
        <v>299</v>
      </c>
      <c r="AE25" s="265" t="s">
        <v>167</v>
      </c>
      <c r="AF25" s="265"/>
      <c r="AG25" s="232" t="s">
        <v>300</v>
      </c>
      <c r="AH25" s="233"/>
      <c r="AI25" s="232" t="s">
        <v>301</v>
      </c>
      <c r="AJ25" s="233"/>
      <c r="AK25" s="265" t="s">
        <v>171</v>
      </c>
      <c r="AL25" s="265"/>
    </row>
    <row r="27" spans="2:38">
      <c r="B27" t="s">
        <v>302</v>
      </c>
    </row>
    <row r="28" spans="2:38">
      <c r="B28" t="s">
        <v>303</v>
      </c>
    </row>
    <row r="29" spans="2:38">
      <c r="B29" t="s">
        <v>304</v>
      </c>
    </row>
    <row r="30" spans="2:38">
      <c r="B30" t="s">
        <v>305</v>
      </c>
    </row>
    <row r="31" spans="2:38">
      <c r="B31" t="s">
        <v>641</v>
      </c>
    </row>
    <row r="32" spans="2:38">
      <c r="B32" t="s">
        <v>306</v>
      </c>
    </row>
    <row r="33" spans="2:28">
      <c r="B33" t="s">
        <v>307</v>
      </c>
    </row>
    <row r="34" spans="2:28">
      <c r="B34" t="s">
        <v>642</v>
      </c>
      <c r="AA34" s="111"/>
      <c r="AB34" s="111"/>
    </row>
    <row r="35" spans="2:28">
      <c r="B35" t="s">
        <v>308</v>
      </c>
      <c r="X35" s="111"/>
    </row>
    <row r="36" spans="2:28">
      <c r="B36" t="s">
        <v>309</v>
      </c>
      <c r="X36" s="111"/>
    </row>
    <row r="37" spans="2:28">
      <c r="B37" t="s">
        <v>310</v>
      </c>
    </row>
    <row r="38" spans="2:28">
      <c r="B38" t="s">
        <v>643</v>
      </c>
      <c r="X38" s="111"/>
    </row>
    <row r="39" spans="2:28">
      <c r="B39" t="s">
        <v>311</v>
      </c>
      <c r="X39" s="111"/>
    </row>
    <row r="40" spans="2:28">
      <c r="B40" t="s">
        <v>644</v>
      </c>
      <c r="X40" s="111"/>
    </row>
    <row r="41" spans="2:28">
      <c r="B41" t="s">
        <v>645</v>
      </c>
      <c r="X41" s="111"/>
    </row>
    <row r="42" spans="2:28">
      <c r="B42" t="s">
        <v>646</v>
      </c>
    </row>
  </sheetData>
  <mergeCells count="17">
    <mergeCell ref="Z5:AA5"/>
    <mergeCell ref="AK25:AL25"/>
    <mergeCell ref="AE5:AG5"/>
    <mergeCell ref="AI5:AI6"/>
    <mergeCell ref="AK5:AL5"/>
    <mergeCell ref="Z25:AA25"/>
    <mergeCell ref="AE25:AF25"/>
    <mergeCell ref="D25:H25"/>
    <mergeCell ref="J25:L25"/>
    <mergeCell ref="N25:P25"/>
    <mergeCell ref="S25:T25"/>
    <mergeCell ref="W25:X25"/>
    <mergeCell ref="D5:H5"/>
    <mergeCell ref="J5:L5"/>
    <mergeCell ref="N5:P5"/>
    <mergeCell ref="R5:U5"/>
    <mergeCell ref="W5:X5"/>
  </mergeCells>
  <phoneticPr fontId="4"/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Header>&amp;C&amp;F &amp;A  &amp;P/&amp;N&amp;R&amp;D &amp;T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3"/>
  <sheetViews>
    <sheetView showGridLines="0" workbookViewId="0">
      <selection activeCell="AF16" sqref="AF16"/>
    </sheetView>
  </sheetViews>
  <sheetFormatPr defaultRowHeight="13.5"/>
  <cols>
    <col min="1" max="1" width="2.625" customWidth="1"/>
    <col min="2" max="2" width="7.625" customWidth="1"/>
    <col min="3" max="3" width="1.625" customWidth="1"/>
    <col min="4" max="6" width="7.625" customWidth="1"/>
    <col min="7" max="7" width="1.625" customWidth="1"/>
    <col min="8" max="10" width="7.625" customWidth="1"/>
    <col min="11" max="11" width="1.625" customWidth="1"/>
    <col min="12" max="15" width="7.625" customWidth="1"/>
    <col min="16" max="16" width="1.625" customWidth="1"/>
    <col min="17" max="21" width="7.625" customWidth="1"/>
    <col min="22" max="22" width="1.625" customWidth="1"/>
    <col min="23" max="25" width="7.625" customWidth="1"/>
    <col min="26" max="26" width="1.625" customWidth="1"/>
    <col min="27" max="30" width="7.625" customWidth="1"/>
  </cols>
  <sheetData>
    <row r="1" spans="1:30">
      <c r="A1" s="1"/>
    </row>
    <row r="2" spans="1:30">
      <c r="B2" s="248" t="s">
        <v>652</v>
      </c>
      <c r="C2" s="137"/>
      <c r="D2" s="137"/>
      <c r="E2" s="137"/>
      <c r="F2" s="137"/>
      <c r="G2" s="137"/>
      <c r="H2" s="137"/>
    </row>
    <row r="4" spans="1:30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ht="15.95" customHeight="1">
      <c r="B5" s="8" t="s">
        <v>2</v>
      </c>
      <c r="C5" s="8"/>
      <c r="D5" s="265" t="s">
        <v>313</v>
      </c>
      <c r="E5" s="265"/>
      <c r="F5" s="265"/>
      <c r="G5" s="8"/>
      <c r="H5" s="265" t="s">
        <v>314</v>
      </c>
      <c r="I5" s="265"/>
      <c r="J5" s="265"/>
      <c r="K5" s="8"/>
      <c r="L5" s="265" t="s">
        <v>688</v>
      </c>
      <c r="M5" s="265"/>
      <c r="N5" s="265"/>
      <c r="O5" s="265"/>
      <c r="P5" s="8"/>
      <c r="Q5" s="265" t="s">
        <v>689</v>
      </c>
      <c r="R5" s="265"/>
      <c r="S5" s="265"/>
      <c r="T5" s="265"/>
      <c r="U5" s="265"/>
      <c r="V5" s="8"/>
      <c r="W5" s="265" t="s">
        <v>315</v>
      </c>
      <c r="X5" s="265"/>
      <c r="Y5" s="265"/>
      <c r="Z5" s="8"/>
      <c r="AA5" s="265" t="s">
        <v>687</v>
      </c>
      <c r="AB5" s="265"/>
      <c r="AC5" s="265"/>
      <c r="AD5" s="265"/>
    </row>
    <row r="6" spans="1:30" ht="27">
      <c r="B6" s="8"/>
      <c r="C6" s="8"/>
      <c r="D6" s="245" t="s">
        <v>1</v>
      </c>
      <c r="E6" s="245" t="s">
        <v>316</v>
      </c>
      <c r="F6" s="245" t="s">
        <v>317</v>
      </c>
      <c r="G6" s="245"/>
      <c r="H6" s="245" t="s">
        <v>1</v>
      </c>
      <c r="I6" s="245" t="s">
        <v>318</v>
      </c>
      <c r="J6" s="245" t="s">
        <v>319</v>
      </c>
      <c r="K6" s="245"/>
      <c r="L6" s="245" t="s">
        <v>264</v>
      </c>
      <c r="M6" s="245" t="s">
        <v>320</v>
      </c>
      <c r="N6" s="245" t="s">
        <v>321</v>
      </c>
      <c r="O6" s="245" t="s">
        <v>265</v>
      </c>
      <c r="P6" s="245"/>
      <c r="Q6" s="245" t="s">
        <v>1</v>
      </c>
      <c r="R6" s="245" t="s">
        <v>264</v>
      </c>
      <c r="S6" s="245" t="s">
        <v>320</v>
      </c>
      <c r="T6" s="245" t="s">
        <v>321</v>
      </c>
      <c r="U6" s="245" t="s">
        <v>265</v>
      </c>
      <c r="V6" s="245"/>
      <c r="W6" s="245" t="s">
        <v>264</v>
      </c>
      <c r="X6" s="245" t="s">
        <v>321</v>
      </c>
      <c r="Y6" s="245" t="s">
        <v>265</v>
      </c>
      <c r="Z6" s="245"/>
      <c r="AA6" s="245" t="s">
        <v>254</v>
      </c>
      <c r="AB6" s="245" t="s">
        <v>264</v>
      </c>
      <c r="AC6" s="245" t="s">
        <v>321</v>
      </c>
      <c r="AD6" s="245" t="s">
        <v>265</v>
      </c>
    </row>
    <row r="7" spans="1:30" ht="15.95" customHeight="1">
      <c r="B7" s="242"/>
      <c r="C7" s="14"/>
      <c r="D7" s="112" t="s">
        <v>141</v>
      </c>
      <c r="E7" s="112" t="s">
        <v>142</v>
      </c>
      <c r="F7" s="112" t="s">
        <v>143</v>
      </c>
      <c r="G7" s="113"/>
      <c r="H7" s="112" t="s">
        <v>144</v>
      </c>
      <c r="I7" s="112" t="s">
        <v>145</v>
      </c>
      <c r="J7" s="112" t="s">
        <v>146</v>
      </c>
      <c r="K7" s="113"/>
      <c r="L7" s="112" t="s">
        <v>147</v>
      </c>
      <c r="M7" s="112" t="s">
        <v>148</v>
      </c>
      <c r="N7" s="112" t="s">
        <v>149</v>
      </c>
      <c r="O7" s="112" t="s">
        <v>150</v>
      </c>
      <c r="P7" s="113"/>
      <c r="Q7" s="112" t="s">
        <v>151</v>
      </c>
      <c r="R7" s="112" t="s">
        <v>152</v>
      </c>
      <c r="S7" s="112" t="s">
        <v>153</v>
      </c>
      <c r="T7" s="112" t="s">
        <v>154</v>
      </c>
      <c r="U7" s="112" t="s">
        <v>155</v>
      </c>
      <c r="V7" s="113"/>
      <c r="W7" s="112" t="s">
        <v>156</v>
      </c>
      <c r="X7" s="112" t="s">
        <v>157</v>
      </c>
      <c r="Y7" s="112" t="s">
        <v>158</v>
      </c>
      <c r="Z7" s="113"/>
      <c r="AA7" s="112" t="s">
        <v>322</v>
      </c>
      <c r="AB7" s="112" t="s">
        <v>288</v>
      </c>
      <c r="AC7" s="112" t="s">
        <v>289</v>
      </c>
      <c r="AD7" s="112" t="s">
        <v>290</v>
      </c>
    </row>
    <row r="8" spans="1:30" ht="14.1" customHeight="1">
      <c r="B8" s="8">
        <v>2000</v>
      </c>
      <c r="C8" s="14"/>
      <c r="G8" s="14"/>
      <c r="K8" s="14"/>
      <c r="P8" s="14"/>
      <c r="V8" s="14"/>
      <c r="Z8" s="14"/>
      <c r="AA8" s="49">
        <v>19.058</v>
      </c>
    </row>
    <row r="9" spans="1:30" ht="14.1" customHeight="1">
      <c r="B9" s="8">
        <v>2001</v>
      </c>
      <c r="C9" s="14"/>
      <c r="G9" s="14"/>
      <c r="K9" s="14"/>
      <c r="P9" s="14"/>
      <c r="V9" s="14"/>
      <c r="Z9" s="14"/>
      <c r="AA9" s="49">
        <v>17.690000000000001</v>
      </c>
    </row>
    <row r="10" spans="1:30" ht="14.1" customHeight="1">
      <c r="B10" s="8">
        <v>2002</v>
      </c>
      <c r="C10" s="14"/>
      <c r="G10" s="14"/>
      <c r="K10" s="14"/>
      <c r="P10" s="14"/>
      <c r="V10" s="14"/>
      <c r="Z10" s="14"/>
      <c r="AA10" s="49">
        <v>16.920000000000002</v>
      </c>
    </row>
    <row r="11" spans="1:30" ht="14.1" customHeight="1">
      <c r="B11" s="8">
        <v>2003</v>
      </c>
      <c r="C11" s="14"/>
      <c r="G11" s="14"/>
      <c r="K11" s="14"/>
      <c r="P11" s="14"/>
      <c r="V11" s="14"/>
      <c r="Z11" s="14"/>
      <c r="AA11" s="49">
        <v>16.97</v>
      </c>
    </row>
    <row r="12" spans="1:30" ht="14.1" customHeight="1">
      <c r="B12" s="8">
        <v>2004</v>
      </c>
      <c r="C12" s="14"/>
      <c r="G12" s="14"/>
      <c r="K12" s="14"/>
      <c r="P12" s="14"/>
      <c r="V12" s="14"/>
      <c r="Z12" s="14"/>
      <c r="AA12" s="49">
        <v>17.332999999999998</v>
      </c>
    </row>
    <row r="13" spans="1:30" ht="14.1" customHeight="1">
      <c r="B13" s="8">
        <v>2005</v>
      </c>
      <c r="C13" s="14"/>
      <c r="D13" s="49">
        <v>87.141999999999996</v>
      </c>
      <c r="G13" s="14"/>
      <c r="J13" s="114"/>
      <c r="K13" s="14"/>
      <c r="P13" s="14"/>
      <c r="Q13" s="49">
        <v>34.658999999999999</v>
      </c>
      <c r="V13" s="14"/>
      <c r="Z13" s="14"/>
      <c r="AA13" s="49">
        <v>17.899000000000001</v>
      </c>
    </row>
    <row r="14" spans="1:30" ht="14.1" customHeight="1">
      <c r="B14" s="8">
        <v>2006</v>
      </c>
      <c r="C14" s="14"/>
      <c r="D14" s="49">
        <v>81.477000000000004</v>
      </c>
      <c r="G14" s="14"/>
      <c r="K14" s="14"/>
      <c r="P14" s="14"/>
      <c r="Q14" s="49">
        <v>35.783999999999999</v>
      </c>
      <c r="V14" s="14"/>
      <c r="Z14" s="14"/>
      <c r="AA14" s="49">
        <v>18.3</v>
      </c>
    </row>
    <row r="15" spans="1:30" ht="14.1" customHeight="1">
      <c r="B15" s="8">
        <v>2007</v>
      </c>
      <c r="C15" s="14"/>
      <c r="D15" s="49">
        <v>81.069000000000003</v>
      </c>
      <c r="E15" s="49">
        <f>R15/L15*1000</f>
        <v>46.186566826808416</v>
      </c>
      <c r="F15" s="49">
        <f>U15/O15*1000</f>
        <v>34.882433173191579</v>
      </c>
      <c r="G15" s="14"/>
      <c r="H15" s="9">
        <v>521</v>
      </c>
      <c r="I15" s="9">
        <f>H15-J15</f>
        <v>332.57894736842104</v>
      </c>
      <c r="J15" s="9">
        <f>T15/N15*1000</f>
        <v>188.42105263157896</v>
      </c>
      <c r="K15" s="14"/>
      <c r="L15" s="9">
        <v>324</v>
      </c>
      <c r="M15" s="9">
        <f>S15/I15*1000</f>
        <v>32.172867892989849</v>
      </c>
      <c r="N15" s="9">
        <v>50</v>
      </c>
      <c r="O15" s="9">
        <v>132</v>
      </c>
      <c r="P15" s="14"/>
      <c r="Q15" s="49">
        <v>39.69</v>
      </c>
      <c r="R15" s="49">
        <f>AB15/W15</f>
        <v>14.964447651885928</v>
      </c>
      <c r="S15" s="49">
        <f>Q15-R15-T15-U15</f>
        <v>10.700018537673834</v>
      </c>
      <c r="T15" s="49">
        <f>AC15/X15</f>
        <v>9.4210526315789487</v>
      </c>
      <c r="U15" s="49">
        <f>AD15/Y15</f>
        <v>4.6044811788612883</v>
      </c>
      <c r="V15" s="14"/>
      <c r="W15" s="108">
        <f t="shared" ref="W15:W24" si="0">1/D15*(AB15/L15+AD15/O15)*1000</f>
        <v>0.71250706262942665</v>
      </c>
      <c r="X15" s="108">
        <v>0.56999999999999995</v>
      </c>
      <c r="Y15" s="108">
        <f>W15</f>
        <v>0.71250706262942665</v>
      </c>
      <c r="Z15" s="14"/>
      <c r="AA15" s="49">
        <v>19.312999999999999</v>
      </c>
      <c r="AB15" s="49">
        <v>10.662274640317063</v>
      </c>
      <c r="AC15" s="49">
        <v>5.37</v>
      </c>
      <c r="AD15" s="49">
        <v>3.2807253596829362</v>
      </c>
    </row>
    <row r="16" spans="1:30" ht="14.1" customHeight="1">
      <c r="B16" s="8">
        <v>2008</v>
      </c>
      <c r="C16" s="14"/>
      <c r="D16" s="49">
        <v>84.573999999999998</v>
      </c>
      <c r="E16" s="49">
        <f t="shared" ref="E16:E24" si="1">R16/L16*1000</f>
        <v>45.237504938586397</v>
      </c>
      <c r="F16" s="49">
        <f t="shared" ref="F16:F24" si="2">U16/O16*1000</f>
        <v>39.336495061413608</v>
      </c>
      <c r="G16" s="14"/>
      <c r="H16" s="9">
        <v>548</v>
      </c>
      <c r="I16" s="9">
        <f t="shared" ref="I16:I26" si="3">H16-J16</f>
        <v>353.9616603235346</v>
      </c>
      <c r="J16" s="9">
        <f t="shared" ref="J16:J24" si="4">T16/N16*1000</f>
        <v>194.0383396764654</v>
      </c>
      <c r="K16" s="14"/>
      <c r="L16" s="9">
        <v>331.37589880453481</v>
      </c>
      <c r="M16" s="9">
        <f t="shared" ref="M16:M26" si="5">S16/I16*1000</f>
        <v>31.306043772262399</v>
      </c>
      <c r="N16" s="9">
        <v>51.174549204864604</v>
      </c>
      <c r="O16" s="9">
        <v>132</v>
      </c>
      <c r="P16" s="14"/>
      <c r="Q16" s="49">
        <v>41.194000000000003</v>
      </c>
      <c r="R16" s="49">
        <f t="shared" ref="R16:R24" si="6">AB16/W16</f>
        <v>14.990618858698648</v>
      </c>
      <c r="S16" s="49">
        <f t="shared" ref="S16:S24" si="7">Q16-R16-T16-U16</f>
        <v>11.08113923179125</v>
      </c>
      <c r="T16" s="49">
        <f t="shared" ref="T16:U24" si="8">AC16/X16</f>
        <v>9.9298245614035103</v>
      </c>
      <c r="U16" s="49">
        <f t="shared" si="8"/>
        <v>5.1924173481065967</v>
      </c>
      <c r="V16" s="14"/>
      <c r="W16" s="108">
        <f t="shared" si="0"/>
        <v>0.68195884201798651</v>
      </c>
      <c r="X16" s="108">
        <v>0.56999999999999995</v>
      </c>
      <c r="Y16" s="108">
        <f t="shared" ref="Y16:Y26" si="9">W16</f>
        <v>0.68195884201798651</v>
      </c>
      <c r="Z16" s="14"/>
      <c r="AA16" s="49">
        <v>19.423999999999999</v>
      </c>
      <c r="AB16" s="49">
        <v>10.222985078011121</v>
      </c>
      <c r="AC16" s="49">
        <v>5.66</v>
      </c>
      <c r="AD16" s="49">
        <v>3.5410149219888791</v>
      </c>
    </row>
    <row r="17" spans="2:30" ht="14.1" customHeight="1">
      <c r="B17" s="8">
        <v>2009</v>
      </c>
      <c r="C17" s="14"/>
      <c r="D17" s="49">
        <v>77.959000000000003</v>
      </c>
      <c r="E17" s="49">
        <f t="shared" si="1"/>
        <v>38.157441030310927</v>
      </c>
      <c r="F17" s="49">
        <f t="shared" si="2"/>
        <v>39.801558969689076</v>
      </c>
      <c r="G17" s="14"/>
      <c r="H17" s="9">
        <v>585</v>
      </c>
      <c r="I17" s="9">
        <f t="shared" si="3"/>
        <v>371.52089652007754</v>
      </c>
      <c r="J17" s="9">
        <f t="shared" si="4"/>
        <v>213.47910347992246</v>
      </c>
      <c r="K17" s="14"/>
      <c r="L17" s="9">
        <v>338.75179760906963</v>
      </c>
      <c r="M17" s="9">
        <f t="shared" si="5"/>
        <v>38.029769013454064</v>
      </c>
      <c r="N17" s="9">
        <v>52.349098409729223</v>
      </c>
      <c r="O17" s="9">
        <v>132</v>
      </c>
      <c r="P17" s="14"/>
      <c r="Q17" s="49">
        <v>43.484000000000002</v>
      </c>
      <c r="R17" s="49">
        <f t="shared" si="6"/>
        <v>12.925901741179896</v>
      </c>
      <c r="S17" s="49">
        <f t="shared" si="7"/>
        <v>14.128853878329918</v>
      </c>
      <c r="T17" s="49">
        <f t="shared" si="8"/>
        <v>11.17543859649123</v>
      </c>
      <c r="U17" s="49">
        <f t="shared" si="8"/>
        <v>5.253805783998958</v>
      </c>
      <c r="V17" s="14"/>
      <c r="W17" s="108">
        <f t="shared" si="0"/>
        <v>0.65479601272534149</v>
      </c>
      <c r="X17" s="108">
        <v>0.56999999999999995</v>
      </c>
      <c r="Y17" s="108">
        <f t="shared" si="9"/>
        <v>0.65479601272534149</v>
      </c>
      <c r="Z17" s="14"/>
      <c r="AA17" s="49">
        <v>18.274000000000001</v>
      </c>
      <c r="AB17" s="49">
        <v>8.4638289210041453</v>
      </c>
      <c r="AC17" s="49">
        <v>6.37</v>
      </c>
      <c r="AD17" s="49">
        <v>3.4401710789958546</v>
      </c>
    </row>
    <row r="18" spans="2:30" ht="14.1" customHeight="1">
      <c r="B18" s="8">
        <v>2010</v>
      </c>
      <c r="C18" s="14"/>
      <c r="D18" s="49">
        <v>70.126000000000005</v>
      </c>
      <c r="E18" s="49">
        <f t="shared" si="1"/>
        <v>36.389267446554975</v>
      </c>
      <c r="F18" s="49">
        <f t="shared" si="2"/>
        <v>33.73673255344503</v>
      </c>
      <c r="G18" s="14"/>
      <c r="H18" s="9">
        <v>556</v>
      </c>
      <c r="I18" s="9">
        <f t="shared" si="3"/>
        <v>338.02781038627086</v>
      </c>
      <c r="J18" s="9">
        <f t="shared" si="4"/>
        <v>217.97218961372917</v>
      </c>
      <c r="K18" s="14"/>
      <c r="L18" s="9">
        <v>346.12769641360444</v>
      </c>
      <c r="M18" s="9">
        <f t="shared" si="5"/>
        <v>45.667104440856747</v>
      </c>
      <c r="N18" s="9">
        <v>53.523647614593827</v>
      </c>
      <c r="O18" s="9">
        <v>132</v>
      </c>
      <c r="P18" s="14"/>
      <c r="Q18" s="49">
        <v>44.152000000000001</v>
      </c>
      <c r="R18" s="49">
        <f t="shared" si="6"/>
        <v>12.595333315454639</v>
      </c>
      <c r="S18" s="49">
        <f t="shared" si="7"/>
        <v>15.436751320823952</v>
      </c>
      <c r="T18" s="49">
        <f t="shared" si="8"/>
        <v>11.666666666666668</v>
      </c>
      <c r="U18" s="49">
        <f t="shared" si="8"/>
        <v>4.453248697054744</v>
      </c>
      <c r="V18" s="14"/>
      <c r="W18" s="108">
        <f t="shared" si="0"/>
        <v>0.71988391709027166</v>
      </c>
      <c r="X18" s="108">
        <v>0.56999999999999995</v>
      </c>
      <c r="Y18" s="108">
        <f t="shared" si="9"/>
        <v>0.71988391709027166</v>
      </c>
      <c r="Z18" s="14"/>
      <c r="AA18" s="49">
        <v>18.922999999999998</v>
      </c>
      <c r="AB18" s="49">
        <v>9.0671778841870836</v>
      </c>
      <c r="AC18" s="49">
        <v>6.65</v>
      </c>
      <c r="AD18" s="49">
        <v>3.2058221158129174</v>
      </c>
    </row>
    <row r="19" spans="2:30" ht="14.1" customHeight="1">
      <c r="B19" s="8">
        <v>2011</v>
      </c>
      <c r="C19" s="14"/>
      <c r="D19" s="49">
        <v>74.076999999999998</v>
      </c>
      <c r="E19" s="49">
        <f t="shared" si="1"/>
        <v>40.28487073865562</v>
      </c>
      <c r="F19" s="49">
        <f t="shared" si="2"/>
        <v>33.792129261344378</v>
      </c>
      <c r="G19" s="14"/>
      <c r="H19" s="9">
        <v>552</v>
      </c>
      <c r="I19" s="9">
        <f t="shared" si="3"/>
        <v>323.95437992776931</v>
      </c>
      <c r="J19" s="9">
        <f t="shared" si="4"/>
        <v>228.04562007223069</v>
      </c>
      <c r="K19" s="14"/>
      <c r="L19" s="9">
        <v>353.50359521813931</v>
      </c>
      <c r="M19" s="9">
        <f t="shared" si="5"/>
        <v>45.549339667065176</v>
      </c>
      <c r="N19" s="9">
        <v>54.698196819458438</v>
      </c>
      <c r="O19" s="9">
        <v>132</v>
      </c>
      <c r="P19" s="14"/>
      <c r="Q19" s="49">
        <v>45.930999999999997</v>
      </c>
      <c r="R19" s="49">
        <f t="shared" si="6"/>
        <v>14.240846639012782</v>
      </c>
      <c r="S19" s="49">
        <f t="shared" si="7"/>
        <v>14.755908087963444</v>
      </c>
      <c r="T19" s="49">
        <f t="shared" si="8"/>
        <v>12.473684210526317</v>
      </c>
      <c r="U19" s="49">
        <f t="shared" si="8"/>
        <v>4.4605610624974581</v>
      </c>
      <c r="V19" s="14"/>
      <c r="W19" s="108">
        <f t="shared" si="0"/>
        <v>0.69422581482738077</v>
      </c>
      <c r="X19" s="108">
        <v>0.56999999999999995</v>
      </c>
      <c r="Y19" s="108">
        <f t="shared" si="9"/>
        <v>0.69422581482738077</v>
      </c>
      <c r="Z19" s="14"/>
      <c r="AA19" s="49">
        <v>20.093</v>
      </c>
      <c r="AB19" s="49">
        <v>9.8863633618004148</v>
      </c>
      <c r="AC19" s="49">
        <v>7.11</v>
      </c>
      <c r="AD19" s="49">
        <v>3.0966366381995849</v>
      </c>
    </row>
    <row r="20" spans="2:30" ht="14.1" customHeight="1">
      <c r="B20" s="8">
        <v>2012</v>
      </c>
      <c r="C20" s="14"/>
      <c r="D20" s="49">
        <v>67.891999999999996</v>
      </c>
      <c r="E20" s="49">
        <f t="shared" si="1"/>
        <v>35.948724526262211</v>
      </c>
      <c r="F20" s="49">
        <f t="shared" si="2"/>
        <v>31.943275473737785</v>
      </c>
      <c r="G20" s="14"/>
      <c r="H20" s="9">
        <v>488</v>
      </c>
      <c r="I20" s="9">
        <f t="shared" si="3"/>
        <v>249.67648055301495</v>
      </c>
      <c r="J20" s="9">
        <f t="shared" si="4"/>
        <v>238.32351944698505</v>
      </c>
      <c r="K20" s="14"/>
      <c r="L20" s="9">
        <v>360.87949402267412</v>
      </c>
      <c r="M20" s="9">
        <f t="shared" si="5"/>
        <v>35.840543034586375</v>
      </c>
      <c r="N20" s="9">
        <v>55.87274602432305</v>
      </c>
      <c r="O20" s="9">
        <v>132</v>
      </c>
      <c r="P20" s="14"/>
      <c r="Q20" s="49">
        <v>39.454000000000001</v>
      </c>
      <c r="R20" s="49">
        <f t="shared" si="6"/>
        <v>12.973157517798001</v>
      </c>
      <c r="S20" s="49">
        <f t="shared" si="7"/>
        <v>8.9485406459844015</v>
      </c>
      <c r="T20" s="49">
        <f t="shared" si="8"/>
        <v>13.315789473684211</v>
      </c>
      <c r="U20" s="49">
        <f t="shared" si="8"/>
        <v>4.216512362533388</v>
      </c>
      <c r="V20" s="14"/>
      <c r="W20" s="108">
        <f t="shared" si="0"/>
        <v>0.7404447024642119</v>
      </c>
      <c r="X20" s="108">
        <v>0.56999999999999995</v>
      </c>
      <c r="Y20" s="108">
        <f t="shared" si="9"/>
        <v>0.7404447024642119</v>
      </c>
      <c r="Z20" s="14"/>
      <c r="AA20" s="49">
        <v>20.318000000000001</v>
      </c>
      <c r="AB20" s="49">
        <v>9.6059057582872942</v>
      </c>
      <c r="AC20" s="49">
        <v>7.59</v>
      </c>
      <c r="AD20" s="49">
        <v>3.1220942417127056</v>
      </c>
    </row>
    <row r="21" spans="2:30" ht="14.1" customHeight="1">
      <c r="B21" s="8">
        <v>2013</v>
      </c>
      <c r="C21" s="14"/>
      <c r="D21" s="49">
        <v>67.257000000000005</v>
      </c>
      <c r="E21" s="49">
        <f t="shared" si="1"/>
        <v>37.003695420294498</v>
      </c>
      <c r="F21" s="49">
        <f t="shared" si="2"/>
        <v>30.25330457970551</v>
      </c>
      <c r="G21" s="14"/>
      <c r="H21" s="9">
        <v>521</v>
      </c>
      <c r="I21" s="9">
        <f t="shared" si="3"/>
        <v>271.59167804052259</v>
      </c>
      <c r="J21" s="9">
        <f t="shared" si="4"/>
        <v>249.40832195947741</v>
      </c>
      <c r="K21" s="14"/>
      <c r="L21" s="9">
        <v>368.25539282720888</v>
      </c>
      <c r="M21" s="9">
        <f t="shared" si="5"/>
        <v>30.784018447479426</v>
      </c>
      <c r="N21" s="9">
        <v>57.047295229187661</v>
      </c>
      <c r="O21" s="9">
        <v>132</v>
      </c>
      <c r="P21" s="14"/>
      <c r="Q21" s="49">
        <v>40.209000000000003</v>
      </c>
      <c r="R21" s="49">
        <f t="shared" si="6"/>
        <v>13.626810393058939</v>
      </c>
      <c r="S21" s="49">
        <f t="shared" si="7"/>
        <v>8.3606832269813403</v>
      </c>
      <c r="T21" s="49">
        <f t="shared" si="8"/>
        <v>14.228070175438596</v>
      </c>
      <c r="U21" s="49">
        <f t="shared" si="8"/>
        <v>3.9934362045211276</v>
      </c>
      <c r="V21" s="14"/>
      <c r="W21" s="108">
        <f t="shared" si="0"/>
        <v>0.77325819048816447</v>
      </c>
      <c r="X21" s="108">
        <v>0.56999999999999995</v>
      </c>
      <c r="Y21" s="108">
        <f t="shared" si="9"/>
        <v>0.77325819048816447</v>
      </c>
      <c r="Z21" s="14"/>
      <c r="AA21" s="49">
        <v>21.734999999999999</v>
      </c>
      <c r="AB21" s="49">
        <v>10.537042746662069</v>
      </c>
      <c r="AC21" s="49">
        <v>8.11</v>
      </c>
      <c r="AD21" s="49">
        <v>3.0879572533379305</v>
      </c>
    </row>
    <row r="22" spans="2:30" ht="14.1" customHeight="1">
      <c r="B22" s="8">
        <v>2014</v>
      </c>
      <c r="C22" s="14"/>
      <c r="D22" s="49">
        <v>72.563000000000002</v>
      </c>
      <c r="E22" s="49">
        <f t="shared" si="1"/>
        <v>43.924993582240525</v>
      </c>
      <c r="F22" s="49">
        <f t="shared" si="2"/>
        <v>28.638006417759485</v>
      </c>
      <c r="G22" s="14"/>
      <c r="H22" s="9">
        <v>465</v>
      </c>
      <c r="I22" s="9">
        <f t="shared" si="3"/>
        <v>233.27893033418206</v>
      </c>
      <c r="J22" s="9">
        <f t="shared" si="4"/>
        <v>231.72106966581794</v>
      </c>
      <c r="K22" s="14"/>
      <c r="L22" s="9">
        <v>375.63129163174375</v>
      </c>
      <c r="M22" s="9">
        <f t="shared" si="5"/>
        <v>34.765047134129908</v>
      </c>
      <c r="N22" s="9">
        <v>58.221844434052272</v>
      </c>
      <c r="O22" s="9">
        <v>132</v>
      </c>
      <c r="P22" s="14"/>
      <c r="Q22" s="49">
        <v>41.881</v>
      </c>
      <c r="R22" s="49">
        <f t="shared" si="6"/>
        <v>16.499602074213062</v>
      </c>
      <c r="S22" s="49">
        <f t="shared" si="7"/>
        <v>8.1099530084672473</v>
      </c>
      <c r="T22" s="49">
        <f t="shared" si="8"/>
        <v>13.49122807017544</v>
      </c>
      <c r="U22" s="49">
        <f t="shared" si="8"/>
        <v>3.7802168471442519</v>
      </c>
      <c r="V22" s="14"/>
      <c r="W22" s="108">
        <f t="shared" si="0"/>
        <v>0.78684134517568027</v>
      </c>
      <c r="X22" s="108">
        <v>0.56999999999999995</v>
      </c>
      <c r="Y22" s="108">
        <f t="shared" si="9"/>
        <v>0.78684134517568027</v>
      </c>
      <c r="Z22" s="14"/>
      <c r="AA22" s="49">
        <v>23.646999999999998</v>
      </c>
      <c r="AB22" s="49">
        <v>12.982569090937249</v>
      </c>
      <c r="AC22" s="49">
        <v>7.69</v>
      </c>
      <c r="AD22" s="49">
        <v>2.9744309090627521</v>
      </c>
    </row>
    <row r="23" spans="2:30" ht="14.1" customHeight="1">
      <c r="B23" s="8">
        <v>2015</v>
      </c>
      <c r="C23" s="14"/>
      <c r="D23" s="49">
        <v>70.572999999999993</v>
      </c>
      <c r="E23" s="49">
        <f t="shared" si="1"/>
        <v>42.328915024327316</v>
      </c>
      <c r="F23" s="49">
        <f t="shared" si="2"/>
        <v>28.244084975672685</v>
      </c>
      <c r="G23" s="14"/>
      <c r="H23" s="9">
        <v>452</v>
      </c>
      <c r="I23" s="9">
        <f t="shared" si="3"/>
        <v>211.86491736441832</v>
      </c>
      <c r="J23" s="9">
        <f t="shared" si="4"/>
        <v>240.13508263558168</v>
      </c>
      <c r="K23" s="14"/>
      <c r="L23" s="9">
        <v>383.00719043627856</v>
      </c>
      <c r="M23" s="9">
        <f t="shared" si="5"/>
        <v>45.322954787621875</v>
      </c>
      <c r="N23" s="9">
        <v>59.396393638916891</v>
      </c>
      <c r="O23" s="9">
        <v>132</v>
      </c>
      <c r="P23" s="14"/>
      <c r="Q23" s="49">
        <v>43.805999999999997</v>
      </c>
      <c r="R23" s="49">
        <f t="shared" si="6"/>
        <v>16.212278817683583</v>
      </c>
      <c r="S23" s="49">
        <f t="shared" si="7"/>
        <v>9.6023440707907763</v>
      </c>
      <c r="T23" s="49">
        <f t="shared" si="8"/>
        <v>14.263157894736844</v>
      </c>
      <c r="U23" s="49">
        <f t="shared" si="8"/>
        <v>3.7282192167887942</v>
      </c>
      <c r="V23" s="14"/>
      <c r="W23" s="108">
        <f t="shared" si="0"/>
        <v>0.84190474936872395</v>
      </c>
      <c r="X23" s="108">
        <v>0.56999999999999995</v>
      </c>
      <c r="Y23" s="108">
        <f t="shared" si="9"/>
        <v>0.84190474936872395</v>
      </c>
      <c r="Z23" s="14"/>
      <c r="AA23" s="49">
        <v>24.917999999999999</v>
      </c>
      <c r="AB23" s="49">
        <v>13.64919453469777</v>
      </c>
      <c r="AC23" s="49">
        <v>8.1300000000000008</v>
      </c>
      <c r="AD23" s="49">
        <v>3.1388054653022301</v>
      </c>
    </row>
    <row r="24" spans="2:30" ht="14.1" customHeight="1">
      <c r="B24" s="14">
        <v>2016</v>
      </c>
      <c r="C24" s="14"/>
      <c r="D24" s="110">
        <v>76.22</v>
      </c>
      <c r="E24" s="110">
        <f t="shared" si="1"/>
        <v>47.136682998545282</v>
      </c>
      <c r="F24" s="110">
        <f t="shared" si="2"/>
        <v>29.083317001454713</v>
      </c>
      <c r="G24" s="14"/>
      <c r="H24" s="19">
        <v>440</v>
      </c>
      <c r="I24" s="9">
        <f t="shared" si="3"/>
        <v>201.62503317033296</v>
      </c>
      <c r="J24" s="9">
        <f t="shared" si="4"/>
        <v>238.37496682966704</v>
      </c>
      <c r="K24" s="14"/>
      <c r="L24" s="19">
        <v>390.38308924081338</v>
      </c>
      <c r="M24" s="9">
        <f t="shared" si="5"/>
        <v>45.317000549846888</v>
      </c>
      <c r="N24" s="19">
        <v>60.570942843781495</v>
      </c>
      <c r="O24" s="19">
        <v>132</v>
      </c>
      <c r="P24" s="14"/>
      <c r="Q24" s="110">
        <v>45.816000000000003</v>
      </c>
      <c r="R24" s="110">
        <f t="shared" si="6"/>
        <v>18.401363925537034</v>
      </c>
      <c r="S24" s="49">
        <f t="shared" si="7"/>
        <v>9.1370417390428749</v>
      </c>
      <c r="T24" s="49">
        <f t="shared" si="8"/>
        <v>14.438596491228072</v>
      </c>
      <c r="U24" s="110">
        <f t="shared" si="8"/>
        <v>3.8389978441920221</v>
      </c>
      <c r="V24" s="14"/>
      <c r="W24" s="115">
        <f t="shared" si="0"/>
        <v>0.85030091667570851</v>
      </c>
      <c r="X24" s="115">
        <v>0.56999999999999995</v>
      </c>
      <c r="Y24" s="108">
        <f t="shared" si="9"/>
        <v>0.85030091667570851</v>
      </c>
      <c r="Z24" s="14"/>
      <c r="AA24" s="110">
        <v>27.140999999999998</v>
      </c>
      <c r="AB24" s="110">
        <v>15.646696613967455</v>
      </c>
      <c r="AC24" s="110">
        <v>8.23</v>
      </c>
      <c r="AD24" s="110">
        <v>3.264303386032545</v>
      </c>
    </row>
    <row r="25" spans="2:30" ht="8.1" customHeight="1"/>
    <row r="26" spans="2:30" ht="27">
      <c r="B26" s="243" t="s">
        <v>323</v>
      </c>
      <c r="C26" s="14"/>
      <c r="D26" s="50">
        <f>AVERAGE(D18:D22)</f>
        <v>70.382999999999996</v>
      </c>
      <c r="E26" s="50">
        <f>R26/L26*1000</f>
        <v>38.82128067847858</v>
      </c>
      <c r="F26" s="50">
        <f>U26/O26*1000</f>
        <v>31.561719321521402</v>
      </c>
      <c r="G26" s="14"/>
      <c r="H26" s="10">
        <f>AVERAGE(H18:H22)</f>
        <v>516.4</v>
      </c>
      <c r="I26" s="10">
        <f t="shared" si="3"/>
        <v>283.10042826204221</v>
      </c>
      <c r="J26" s="10">
        <f>T26/N26*1000</f>
        <v>233.29957173795773</v>
      </c>
      <c r="K26" s="14"/>
      <c r="L26" s="10">
        <f>AVERAGE(L18:L22)</f>
        <v>360.87949402267412</v>
      </c>
      <c r="M26" s="10">
        <f t="shared" si="5"/>
        <v>39.259429135909805</v>
      </c>
      <c r="N26" s="10">
        <v>55.872746024323042</v>
      </c>
      <c r="O26" s="10">
        <f>AVERAGE(O18:O22)</f>
        <v>132</v>
      </c>
      <c r="P26" s="14"/>
      <c r="Q26" s="50">
        <f>AVERAGE(Q18:Q22)</f>
        <v>42.325400000000002</v>
      </c>
      <c r="R26" s="50">
        <f>AB26/W26</f>
        <v>14.009804128561566</v>
      </c>
      <c r="S26" s="50">
        <f>Q26-R26-T26-U26</f>
        <v>11.114361201699364</v>
      </c>
      <c r="T26" s="50">
        <f>AC26/X26</f>
        <v>13.035087719298247</v>
      </c>
      <c r="U26" s="50">
        <f>AD26/Y26</f>
        <v>4.1661469504408251</v>
      </c>
      <c r="V26" s="14"/>
      <c r="W26" s="109">
        <f>1/D26*(AB26/L26+AD26/O26)*1000</f>
        <v>0.74346590950120928</v>
      </c>
      <c r="X26" s="109">
        <f>AVERAGE(X18:X22)</f>
        <v>0.56999999999999995</v>
      </c>
      <c r="Y26" s="109">
        <f t="shared" si="9"/>
        <v>0.74346590950120928</v>
      </c>
      <c r="Z26" s="14"/>
      <c r="AA26" s="50">
        <f>AVERAGE(AA18:AA22)</f>
        <v>20.943200000000001</v>
      </c>
      <c r="AB26" s="50">
        <f>AVERAGE(AB18:AB22)</f>
        <v>10.415811768374821</v>
      </c>
      <c r="AC26" s="50">
        <f>AVERAGE(AC18:AC22)</f>
        <v>7.43</v>
      </c>
      <c r="AD26" s="50">
        <f>AVERAGE(AD18:AD22)</f>
        <v>3.0973882316251777</v>
      </c>
    </row>
    <row r="27" spans="2:30" ht="15.95" customHeight="1">
      <c r="D27" s="116" t="s">
        <v>299</v>
      </c>
      <c r="E27" s="116" t="s">
        <v>324</v>
      </c>
      <c r="F27" s="116" t="s">
        <v>324</v>
      </c>
      <c r="G27" s="116"/>
      <c r="H27" s="116" t="s">
        <v>299</v>
      </c>
      <c r="I27" s="116" t="s">
        <v>324</v>
      </c>
      <c r="J27" s="116" t="s">
        <v>324</v>
      </c>
      <c r="K27" s="116"/>
      <c r="L27" s="116" t="s">
        <v>325</v>
      </c>
      <c r="M27" s="116" t="s">
        <v>324</v>
      </c>
      <c r="N27" s="116" t="s">
        <v>325</v>
      </c>
      <c r="O27" s="116" t="s">
        <v>325</v>
      </c>
      <c r="P27" s="116"/>
      <c r="Q27" s="116" t="s">
        <v>299</v>
      </c>
      <c r="R27" s="116" t="s">
        <v>324</v>
      </c>
      <c r="S27" s="116" t="s">
        <v>324</v>
      </c>
      <c r="T27" s="116" t="s">
        <v>324</v>
      </c>
      <c r="U27" s="116" t="s">
        <v>324</v>
      </c>
      <c r="V27" s="116"/>
      <c r="W27" s="116" t="s">
        <v>324</v>
      </c>
      <c r="X27" s="116" t="s">
        <v>325</v>
      </c>
      <c r="Y27" s="116" t="s">
        <v>326</v>
      </c>
      <c r="Z27" s="116"/>
      <c r="AA27" s="116" t="s">
        <v>327</v>
      </c>
      <c r="AB27" s="289" t="s">
        <v>328</v>
      </c>
      <c r="AC27" s="116" t="s">
        <v>299</v>
      </c>
      <c r="AD27" s="289" t="s">
        <v>329</v>
      </c>
    </row>
    <row r="28" spans="2:30" ht="44.1" customHeight="1">
      <c r="B28" s="242" t="s">
        <v>330</v>
      </c>
      <c r="C28" s="2"/>
      <c r="D28" s="243" t="s">
        <v>331</v>
      </c>
      <c r="E28" s="117" t="s">
        <v>332</v>
      </c>
      <c r="F28" s="243" t="s">
        <v>333</v>
      </c>
      <c r="G28" s="243"/>
      <c r="H28" s="243" t="s">
        <v>334</v>
      </c>
      <c r="I28" s="118" t="s">
        <v>335</v>
      </c>
      <c r="J28" s="118" t="s">
        <v>336</v>
      </c>
      <c r="K28" s="243"/>
      <c r="L28" s="243" t="s">
        <v>160</v>
      </c>
      <c r="M28" s="118" t="s">
        <v>337</v>
      </c>
      <c r="N28" s="118" t="s">
        <v>160</v>
      </c>
      <c r="O28" s="243" t="s">
        <v>297</v>
      </c>
      <c r="P28" s="243"/>
      <c r="Q28" s="243" t="s">
        <v>338</v>
      </c>
      <c r="R28" s="243" t="s">
        <v>339</v>
      </c>
      <c r="S28" s="118" t="s">
        <v>340</v>
      </c>
      <c r="T28" s="118" t="s">
        <v>341</v>
      </c>
      <c r="U28" s="243" t="s">
        <v>342</v>
      </c>
      <c r="V28" s="243"/>
      <c r="W28" s="243" t="s">
        <v>343</v>
      </c>
      <c r="X28" s="243" t="s">
        <v>297</v>
      </c>
      <c r="Y28" s="117" t="s">
        <v>344</v>
      </c>
      <c r="Z28" s="243"/>
      <c r="AA28" s="243" t="s">
        <v>345</v>
      </c>
      <c r="AB28" s="278"/>
      <c r="AC28" s="243" t="s">
        <v>346</v>
      </c>
      <c r="AD28" s="278"/>
    </row>
    <row r="29" spans="2:30"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</row>
    <row r="30" spans="2:30" ht="15.95" customHeight="1">
      <c r="B30" s="8" t="s">
        <v>2</v>
      </c>
      <c r="D30" s="290" t="s">
        <v>347</v>
      </c>
      <c r="E30" s="290"/>
      <c r="F30" s="290"/>
      <c r="G30" s="8"/>
      <c r="H30" s="290" t="s">
        <v>348</v>
      </c>
      <c r="I30" s="290"/>
      <c r="L30" s="289" t="s">
        <v>349</v>
      </c>
      <c r="M30" s="289"/>
      <c r="O30" t="s">
        <v>350</v>
      </c>
      <c r="W30" s="114"/>
    </row>
    <row r="31" spans="2:30" ht="15.95" customHeight="1">
      <c r="B31" s="8"/>
      <c r="D31" s="245" t="s">
        <v>1</v>
      </c>
      <c r="E31" s="245" t="s">
        <v>351</v>
      </c>
      <c r="F31" s="245" t="s">
        <v>352</v>
      </c>
      <c r="G31" s="245"/>
      <c r="H31" s="245" t="s">
        <v>351</v>
      </c>
      <c r="I31" s="245" t="s">
        <v>352</v>
      </c>
      <c r="L31" s="278"/>
      <c r="M31" s="278"/>
      <c r="O31" t="s">
        <v>353</v>
      </c>
    </row>
    <row r="32" spans="2:30" ht="15.95" customHeight="1">
      <c r="B32" s="242"/>
      <c r="D32" s="112" t="s">
        <v>291</v>
      </c>
      <c r="E32" s="112" t="s">
        <v>292</v>
      </c>
      <c r="F32" s="112" t="s">
        <v>293</v>
      </c>
      <c r="G32" s="113"/>
      <c r="H32" s="112" t="s">
        <v>354</v>
      </c>
      <c r="I32" s="112" t="s">
        <v>355</v>
      </c>
      <c r="L32" s="242" t="s">
        <v>356</v>
      </c>
      <c r="M32" s="242" t="s">
        <v>357</v>
      </c>
      <c r="O32" t="s">
        <v>358</v>
      </c>
    </row>
    <row r="33" spans="2:15" ht="14.1" customHeight="1">
      <c r="B33" s="8">
        <v>2000</v>
      </c>
      <c r="D33" s="49">
        <v>35.908000000000001</v>
      </c>
      <c r="E33" s="49">
        <v>19.384</v>
      </c>
      <c r="F33" s="49">
        <v>16.524000000000001</v>
      </c>
      <c r="G33" s="14"/>
      <c r="L33" s="8" t="s">
        <v>648</v>
      </c>
      <c r="M33" s="8" t="s">
        <v>649</v>
      </c>
      <c r="O33" t="s">
        <v>359</v>
      </c>
    </row>
    <row r="34" spans="2:15" ht="14.1" customHeight="1">
      <c r="B34" s="8">
        <v>2001</v>
      </c>
      <c r="D34" s="49">
        <v>32.457000000000001</v>
      </c>
      <c r="E34" s="49">
        <v>18.036000000000001</v>
      </c>
      <c r="F34" s="49">
        <v>14.420999999999999</v>
      </c>
      <c r="G34" s="14"/>
      <c r="O34" t="s">
        <v>360</v>
      </c>
    </row>
    <row r="35" spans="2:15" ht="14.1" customHeight="1">
      <c r="B35" s="8">
        <v>2002</v>
      </c>
      <c r="D35" s="49">
        <v>30.088999999999999</v>
      </c>
      <c r="E35" s="49">
        <v>16.218</v>
      </c>
      <c r="F35" s="49">
        <v>13.871</v>
      </c>
      <c r="G35" s="14"/>
      <c r="O35" t="s">
        <v>361</v>
      </c>
    </row>
    <row r="36" spans="2:15" ht="14.1" customHeight="1">
      <c r="B36" s="8">
        <v>2003</v>
      </c>
      <c r="D36" s="49">
        <v>28.898</v>
      </c>
      <c r="E36" s="49">
        <v>16.57</v>
      </c>
      <c r="F36" s="49">
        <v>12.327999999999999</v>
      </c>
      <c r="G36" s="14"/>
      <c r="O36" t="s">
        <v>362</v>
      </c>
    </row>
    <row r="37" spans="2:15" ht="14.1" customHeight="1">
      <c r="B37" s="8">
        <v>2004</v>
      </c>
      <c r="D37" s="49">
        <v>28.466000000000001</v>
      </c>
      <c r="E37" s="49">
        <v>16.984000000000002</v>
      </c>
      <c r="F37" s="49">
        <v>11.481999999999999</v>
      </c>
      <c r="G37" s="14"/>
      <c r="O37" t="s">
        <v>363</v>
      </c>
    </row>
    <row r="38" spans="2:15" ht="14.1" customHeight="1">
      <c r="B38" s="8">
        <v>2005</v>
      </c>
      <c r="D38" s="49">
        <v>28.576000000000001</v>
      </c>
      <c r="E38" s="49">
        <v>18.701000000000001</v>
      </c>
      <c r="F38" s="49">
        <v>9.875</v>
      </c>
      <c r="G38" s="14"/>
      <c r="O38" t="s">
        <v>364</v>
      </c>
    </row>
    <row r="39" spans="2:15" ht="14.1" customHeight="1">
      <c r="B39" s="8">
        <v>2006</v>
      </c>
      <c r="D39" s="49">
        <v>28.515000000000001</v>
      </c>
      <c r="E39" s="49">
        <v>19.992999999999999</v>
      </c>
      <c r="F39" s="49">
        <v>8.5220000000000002</v>
      </c>
      <c r="G39" s="14"/>
      <c r="O39" t="s">
        <v>365</v>
      </c>
    </row>
    <row r="40" spans="2:15" ht="14.1" customHeight="1">
      <c r="B40" s="8">
        <v>2007</v>
      </c>
      <c r="D40" s="49">
        <v>33.783999999999999</v>
      </c>
      <c r="E40" s="49">
        <v>25.093</v>
      </c>
      <c r="F40" s="49">
        <v>8.6910000000000007</v>
      </c>
      <c r="G40" s="14"/>
      <c r="H40" s="108">
        <f t="shared" ref="H40:I49" si="10">E40/E15</f>
        <v>0.54329649774780575</v>
      </c>
      <c r="I40" s="108">
        <f t="shared" si="10"/>
        <v>0.24915119759132373</v>
      </c>
      <c r="L40" s="108">
        <f>T15/(S15+T15)</f>
        <v>0.46821824505920723</v>
      </c>
      <c r="M40" s="108">
        <f>J15/H15</f>
        <v>0.36165269219113044</v>
      </c>
      <c r="O40" t="s">
        <v>366</v>
      </c>
    </row>
    <row r="41" spans="2:15" ht="14.1" customHeight="1">
      <c r="B41" s="8">
        <v>2008</v>
      </c>
      <c r="D41" s="49">
        <v>31.917000000000002</v>
      </c>
      <c r="E41" s="49">
        <v>23.792000000000002</v>
      </c>
      <c r="F41" s="49">
        <v>8.125</v>
      </c>
      <c r="G41" s="14"/>
      <c r="H41" s="108">
        <f t="shared" si="10"/>
        <v>0.52593528383803623</v>
      </c>
      <c r="I41" s="108">
        <f t="shared" si="10"/>
        <v>0.20655119342267139</v>
      </c>
      <c r="L41" s="108">
        <f t="shared" ref="L41:L49" si="11">T16/(S16+T16)</f>
        <v>0.47260205001255962</v>
      </c>
      <c r="M41" s="108">
        <f t="shared" ref="M41:M49" si="12">J16/H16</f>
        <v>0.354084561453404</v>
      </c>
    </row>
    <row r="42" spans="2:15" ht="14.1" customHeight="1">
      <c r="B42" s="8">
        <v>2009</v>
      </c>
      <c r="D42" s="49">
        <v>30.053999999999998</v>
      </c>
      <c r="E42" s="49">
        <v>20.640999999999998</v>
      </c>
      <c r="F42" s="49">
        <v>9.4130000000000003</v>
      </c>
      <c r="G42" s="14"/>
      <c r="H42" s="108">
        <f t="shared" si="10"/>
        <v>0.54094298366610893</v>
      </c>
      <c r="I42" s="108">
        <f t="shared" si="10"/>
        <v>0.2364982740291274</v>
      </c>
      <c r="L42" s="108">
        <f t="shared" si="11"/>
        <v>0.4416420102483114</v>
      </c>
      <c r="M42" s="108">
        <f t="shared" si="12"/>
        <v>0.36492154441012387</v>
      </c>
    </row>
    <row r="43" spans="2:15" ht="14.1" customHeight="1">
      <c r="B43" s="8">
        <v>2010</v>
      </c>
      <c r="D43" s="49">
        <v>24.128</v>
      </c>
      <c r="E43" s="49">
        <v>18.023</v>
      </c>
      <c r="F43" s="49">
        <v>6.1050000000000004</v>
      </c>
      <c r="G43" s="14"/>
      <c r="H43" s="108">
        <f t="shared" si="10"/>
        <v>0.49528339712994862</v>
      </c>
      <c r="I43" s="108">
        <f t="shared" si="10"/>
        <v>0.18096002599921573</v>
      </c>
      <c r="L43" s="108">
        <f t="shared" si="11"/>
        <v>0.43045001453511622</v>
      </c>
      <c r="M43" s="108">
        <f t="shared" si="12"/>
        <v>0.39203631225490859</v>
      </c>
    </row>
    <row r="44" spans="2:15" ht="14.1" customHeight="1">
      <c r="B44" s="8">
        <v>2011</v>
      </c>
      <c r="D44" s="49">
        <v>23.536000000000001</v>
      </c>
      <c r="E44" s="49">
        <v>17.713999999999999</v>
      </c>
      <c r="F44" s="49">
        <v>5.8220000000000001</v>
      </c>
      <c r="G44" s="14"/>
      <c r="H44" s="108">
        <f t="shared" si="10"/>
        <v>0.43971842717128073</v>
      </c>
      <c r="I44" s="108">
        <f t="shared" si="10"/>
        <v>0.17228864020296952</v>
      </c>
      <c r="L44" s="108">
        <f t="shared" si="11"/>
        <v>0.45809294806144218</v>
      </c>
      <c r="M44" s="108">
        <f t="shared" si="12"/>
        <v>0.41312612331925852</v>
      </c>
    </row>
    <row r="45" spans="2:15" ht="14.1" customHeight="1">
      <c r="B45" s="8">
        <v>2012</v>
      </c>
      <c r="D45" s="49">
        <v>25.36</v>
      </c>
      <c r="E45" s="49">
        <v>19.815999999999999</v>
      </c>
      <c r="F45" s="49">
        <v>5.5430000000000001</v>
      </c>
      <c r="G45" s="14"/>
      <c r="H45" s="108">
        <f t="shared" si="10"/>
        <v>0.5512295710387024</v>
      </c>
      <c r="I45" s="108">
        <f t="shared" si="10"/>
        <v>0.17352634999992991</v>
      </c>
      <c r="L45" s="108">
        <f t="shared" si="11"/>
        <v>0.59807725640579057</v>
      </c>
      <c r="M45" s="108">
        <f t="shared" si="12"/>
        <v>0.48836786771923163</v>
      </c>
    </row>
    <row r="46" spans="2:15" ht="14.1" customHeight="1">
      <c r="B46" s="8">
        <v>2013</v>
      </c>
      <c r="D46" s="49">
        <v>27.343</v>
      </c>
      <c r="E46" s="49">
        <v>20.161999999999999</v>
      </c>
      <c r="F46" s="49">
        <v>7.181</v>
      </c>
      <c r="G46" s="14"/>
      <c r="H46" s="108">
        <f t="shared" si="10"/>
        <v>0.54486449990998054</v>
      </c>
      <c r="I46" s="108">
        <f t="shared" si="10"/>
        <v>0.23736249972563828</v>
      </c>
      <c r="L46" s="108">
        <f t="shared" si="11"/>
        <v>0.62987407591577593</v>
      </c>
      <c r="M46" s="108">
        <f t="shared" si="12"/>
        <v>0.47871079070916966</v>
      </c>
    </row>
    <row r="47" spans="2:15" ht="14.1" customHeight="1">
      <c r="B47" s="8">
        <v>2014</v>
      </c>
      <c r="D47" s="49">
        <v>24.753</v>
      </c>
      <c r="E47" s="49">
        <v>19.172000000000001</v>
      </c>
      <c r="F47" s="49">
        <v>5.5810000000000004</v>
      </c>
      <c r="G47" s="14"/>
      <c r="H47" s="108">
        <f t="shared" si="10"/>
        <v>0.43647132159744928</v>
      </c>
      <c r="I47" s="108">
        <f t="shared" si="10"/>
        <v>0.19488088376637197</v>
      </c>
      <c r="L47" s="108">
        <f t="shared" si="11"/>
        <v>0.62455974148165239</v>
      </c>
      <c r="M47" s="108">
        <f t="shared" si="12"/>
        <v>0.49832488100175898</v>
      </c>
    </row>
    <row r="48" spans="2:15" ht="14.1" customHeight="1">
      <c r="B48" s="8">
        <v>2015</v>
      </c>
      <c r="D48" s="49">
        <v>25.172999999999998</v>
      </c>
      <c r="E48" s="49">
        <v>20.617999999999999</v>
      </c>
      <c r="F48" s="49">
        <v>4.5549999999999997</v>
      </c>
      <c r="G48" s="14"/>
      <c r="H48" s="108">
        <f t="shared" si="10"/>
        <v>0.48709020744213266</v>
      </c>
      <c r="I48" s="108">
        <f t="shared" si="10"/>
        <v>0.16127270555669732</v>
      </c>
      <c r="L48" s="108">
        <f t="shared" si="11"/>
        <v>0.59764751293893492</v>
      </c>
      <c r="M48" s="108">
        <f t="shared" si="12"/>
        <v>0.53127230671588865</v>
      </c>
    </row>
    <row r="49" spans="2:13" ht="14.1" customHeight="1">
      <c r="B49" s="14">
        <v>2016</v>
      </c>
      <c r="D49" s="110">
        <v>27.05</v>
      </c>
      <c r="E49" s="110">
        <v>22.420999999999999</v>
      </c>
      <c r="F49" s="110">
        <v>4.6289999999999996</v>
      </c>
      <c r="G49" s="14"/>
      <c r="H49" s="108">
        <f t="shared" si="10"/>
        <v>0.47565926522008239</v>
      </c>
      <c r="I49" s="108">
        <f t="shared" si="10"/>
        <v>0.1591634131611763</v>
      </c>
      <c r="J49" s="16"/>
      <c r="L49" s="108">
        <f t="shared" si="11"/>
        <v>0.61243714168844943</v>
      </c>
      <c r="M49" s="108">
        <f t="shared" si="12"/>
        <v>0.5417612882492433</v>
      </c>
    </row>
    <row r="50" spans="2:13">
      <c r="L50" s="119"/>
      <c r="M50" s="119"/>
    </row>
    <row r="51" spans="2:13" ht="27">
      <c r="B51" s="243" t="s">
        <v>323</v>
      </c>
      <c r="D51" s="50">
        <f>AVERAGE(D43:D47)</f>
        <v>25.024000000000001</v>
      </c>
      <c r="E51" s="50">
        <f>AVERAGE(E43:E47)</f>
        <v>18.977399999999999</v>
      </c>
      <c r="F51" s="50">
        <f>AVERAGE(F43:F47)</f>
        <v>6.0464000000000002</v>
      </c>
      <c r="G51" s="14"/>
      <c r="H51" s="109">
        <f>E51/E26</f>
        <v>0.48884013273989008</v>
      </c>
      <c r="I51" s="109">
        <f>F51/F26</f>
        <v>0.19157384736886188</v>
      </c>
      <c r="L51" s="109">
        <f>T26/(S26+T26)</f>
        <v>0.53976750202214419</v>
      </c>
      <c r="M51" s="109">
        <f>J26/H26</f>
        <v>0.45178073535623109</v>
      </c>
    </row>
    <row r="52" spans="2:13" ht="15.95" customHeight="1">
      <c r="D52" s="116" t="s">
        <v>299</v>
      </c>
      <c r="E52" s="116" t="s">
        <v>299</v>
      </c>
      <c r="F52" s="116" t="s">
        <v>299</v>
      </c>
      <c r="G52" s="116"/>
      <c r="H52" s="116" t="s">
        <v>324</v>
      </c>
      <c r="I52" s="116" t="s">
        <v>324</v>
      </c>
      <c r="J52" s="247"/>
      <c r="K52" s="247"/>
      <c r="L52" s="116" t="s">
        <v>324</v>
      </c>
      <c r="M52" s="116" t="s">
        <v>324</v>
      </c>
    </row>
    <row r="53" spans="2:13" ht="30" customHeight="1">
      <c r="B53" s="242" t="s">
        <v>330</v>
      </c>
      <c r="C53" s="2"/>
      <c r="D53" s="243"/>
      <c r="E53" s="243"/>
      <c r="F53" s="120"/>
      <c r="G53" s="243"/>
      <c r="H53" s="243" t="s">
        <v>367</v>
      </c>
      <c r="I53" s="243" t="s">
        <v>368</v>
      </c>
      <c r="J53" s="7"/>
      <c r="K53" s="7"/>
      <c r="L53" s="243" t="s">
        <v>369</v>
      </c>
      <c r="M53" s="243" t="s">
        <v>370</v>
      </c>
    </row>
  </sheetData>
  <mergeCells count="11">
    <mergeCell ref="AA5:AD5"/>
    <mergeCell ref="D5:F5"/>
    <mergeCell ref="H5:J5"/>
    <mergeCell ref="L5:O5"/>
    <mergeCell ref="Q5:U5"/>
    <mergeCell ref="W5:Y5"/>
    <mergeCell ref="AB27:AB28"/>
    <mergeCell ref="AD27:AD28"/>
    <mergeCell ref="D30:F30"/>
    <mergeCell ref="H30:I30"/>
    <mergeCell ref="L30:M31"/>
  </mergeCells>
  <phoneticPr fontId="4"/>
  <pageMargins left="0.70866141732283472" right="0.70866141732283472" top="0.74803149606299213" bottom="0.74803149606299213" header="0.31496062992125984" footer="0.31496062992125984"/>
  <pageSetup paperSize="9" scale="2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Table1</vt:lpstr>
      <vt:lpstr>Table2</vt:lpstr>
      <vt:lpstr>Table3</vt:lpstr>
      <vt:lpstr>Table4</vt:lpstr>
      <vt:lpstr>Table5</vt:lpstr>
      <vt:lpstr>Table6</vt:lpstr>
      <vt:lpstr>Table7</vt:lpstr>
      <vt:lpstr>Table8</vt:lpstr>
      <vt:lpstr>Table9</vt:lpstr>
      <vt:lpstr>Table10</vt:lpstr>
      <vt:lpstr>Table11</vt:lpstr>
      <vt:lpstr>Table12</vt:lpstr>
      <vt:lpstr>Table13</vt:lpstr>
      <vt:lpstr>Table14</vt:lpstr>
      <vt:lpstr>Table15</vt:lpstr>
      <vt:lpstr>Table16</vt:lpstr>
      <vt:lpstr>Table17</vt:lpstr>
      <vt:lpstr>Table18</vt:lpstr>
      <vt:lpstr>Table19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2020-03-11T01:11:58Z</dcterms:created>
  <dcterms:modified xsi:type="dcterms:W3CDTF">2020-03-11T01:12:02Z</dcterms:modified>
</cp:coreProperties>
</file>